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895" windowHeight="5655" tabRatio="929"/>
  </bookViews>
  <sheets>
    <sheet name="Standard simple effet" sheetId="12" r:id="rId1"/>
    <sheet name="Standard simple effet brut" sheetId="16" r:id="rId2"/>
    <sheet name="Double effet simple" sheetId="10" r:id="rId3"/>
    <sheet name="Double effet brut" sheetId="17" r:id="rId4"/>
  </sheets>
  <definedNames>
    <definedName name="_80x60">'Double effet brut'!$A$24</definedName>
    <definedName name="_xlnm._FilterDatabase" localSheetId="2" hidden="1">'Double effet simple'!$A$34:$AM$93</definedName>
    <definedName name="type">'Double effet simple'!$A$23</definedName>
    <definedName name="_xlnm.Print_Area" localSheetId="3">'Double effet brut'!$A$1:$L$40</definedName>
    <definedName name="_xlnm.Print_Area" localSheetId="2">'Double effet simple'!$A$1:$O$39</definedName>
    <definedName name="_xlnm.Print_Area" localSheetId="0">'Standard simple effet'!$A$1:$O$33</definedName>
    <definedName name="_xlnm.Print_Area" localSheetId="1">'Standard simple effet brut'!$A$1:$L$34</definedName>
  </definedNames>
  <calcPr calcId="124519"/>
  <customWorkbookViews>
    <customWorkbookView name="olivier - Affichage personnalisé" guid="{EB2544A9-1A54-4A71-9E07-858BD73F3D77}" mergeInterval="0" personalView="1" maximized="1" windowWidth="1020" windowHeight="566" tabRatio="613" activeSheetId="2"/>
  </customWorkbookViews>
</workbook>
</file>

<file path=xl/calcChain.xml><?xml version="1.0" encoding="utf-8"?>
<calcChain xmlns="http://schemas.openxmlformats.org/spreadsheetml/2006/main">
  <c r="G25" i="17"/>
  <c r="X32" l="1"/>
  <c r="Y32"/>
  <c r="Z32"/>
  <c r="AA32"/>
  <c r="AB32"/>
  <c r="AC32"/>
  <c r="U32" i="10"/>
  <c r="W32"/>
  <c r="X32"/>
  <c r="Y32"/>
  <c r="Z32"/>
  <c r="AA32"/>
  <c r="AB32"/>
  <c r="AC32"/>
  <c r="AD32"/>
  <c r="AE32"/>
  <c r="AF32"/>
  <c r="I25" i="17"/>
  <c r="I26"/>
  <c r="G28"/>
  <c r="T35"/>
  <c r="T36"/>
  <c r="U36" s="1"/>
  <c r="T37"/>
  <c r="AH37" s="1"/>
  <c r="U37"/>
  <c r="T38"/>
  <c r="U38" s="1"/>
  <c r="T39"/>
  <c r="AK39" s="1"/>
  <c r="T40"/>
  <c r="AH40"/>
  <c r="T41"/>
  <c r="AK41" s="1"/>
  <c r="T42"/>
  <c r="AH42"/>
  <c r="AI42" s="1"/>
  <c r="AJ42" s="1"/>
  <c r="T43"/>
  <c r="AH43" s="1"/>
  <c r="T44"/>
  <c r="T45"/>
  <c r="AK45" s="1"/>
  <c r="T46"/>
  <c r="AE46"/>
  <c r="T47"/>
  <c r="U47" s="1"/>
  <c r="T48"/>
  <c r="AK48" s="1"/>
  <c r="T49"/>
  <c r="T50"/>
  <c r="AE50"/>
  <c r="T51"/>
  <c r="AE51" s="1"/>
  <c r="T52"/>
  <c r="AD52"/>
  <c r="T53"/>
  <c r="U53" s="1"/>
  <c r="T54"/>
  <c r="U54"/>
  <c r="V54" s="1"/>
  <c r="AF54" s="1"/>
  <c r="AG54" s="1"/>
  <c r="AE54"/>
  <c r="T55"/>
  <c r="U55" s="1"/>
  <c r="T56"/>
  <c r="AH56" s="1"/>
  <c r="T57"/>
  <c r="AD57" s="1"/>
  <c r="T58"/>
  <c r="T59"/>
  <c r="U59"/>
  <c r="V59" s="1"/>
  <c r="AF59" s="1"/>
  <c r="AG59" s="1"/>
  <c r="T60"/>
  <c r="AH60"/>
  <c r="AI60" s="1"/>
  <c r="AJ60" s="1"/>
  <c r="T61"/>
  <c r="AD61" s="1"/>
  <c r="T62"/>
  <c r="U62" s="1"/>
  <c r="T63"/>
  <c r="AE63" s="1"/>
  <c r="AG63" s="1"/>
  <c r="T64"/>
  <c r="T65"/>
  <c r="AD65"/>
  <c r="T66"/>
  <c r="T67"/>
  <c r="U67" s="1"/>
  <c r="T68"/>
  <c r="T69"/>
  <c r="T70"/>
  <c r="U70"/>
  <c r="T71"/>
  <c r="T72"/>
  <c r="T73"/>
  <c r="AE73"/>
  <c r="AE32" s="1"/>
  <c r="T74"/>
  <c r="AK74" s="1"/>
  <c r="T75"/>
  <c r="AK75"/>
  <c r="T76"/>
  <c r="AE76" s="1"/>
  <c r="T77"/>
  <c r="AE77"/>
  <c r="T78"/>
  <c r="U78"/>
  <c r="V78"/>
  <c r="AF78"/>
  <c r="T79"/>
  <c r="AE79"/>
  <c r="U79"/>
  <c r="W79"/>
  <c r="T80"/>
  <c r="AH80"/>
  <c r="AI80" s="1"/>
  <c r="AJ80" s="1"/>
  <c r="T81"/>
  <c r="AD81" s="1"/>
  <c r="T82"/>
  <c r="T83"/>
  <c r="AK83"/>
  <c r="T84"/>
  <c r="AK84"/>
  <c r="T85"/>
  <c r="AE85"/>
  <c r="T86"/>
  <c r="U86"/>
  <c r="T87"/>
  <c r="T88"/>
  <c r="AH88" s="1"/>
  <c r="T89"/>
  <c r="U89" s="1"/>
  <c r="T90"/>
  <c r="AH90" s="1"/>
  <c r="T91"/>
  <c r="T92"/>
  <c r="U92" s="1"/>
  <c r="T93"/>
  <c r="AH93" s="1"/>
  <c r="T94"/>
  <c r="U94" s="1"/>
  <c r="T95"/>
  <c r="T96"/>
  <c r="AH96" s="1"/>
  <c r="T97"/>
  <c r="AE97"/>
  <c r="T98"/>
  <c r="AH98"/>
  <c r="T99"/>
  <c r="T100"/>
  <c r="AH100" s="1"/>
  <c r="T101"/>
  <c r="T102"/>
  <c r="AH102"/>
  <c r="AI102" s="1"/>
  <c r="AJ102" s="1"/>
  <c r="T103"/>
  <c r="U103" s="1"/>
  <c r="T104"/>
  <c r="T105"/>
  <c r="AH105"/>
  <c r="AI105" s="1"/>
  <c r="AJ105" s="1"/>
  <c r="T106"/>
  <c r="AK106" s="1"/>
  <c r="T107"/>
  <c r="T108"/>
  <c r="AK108"/>
  <c r="T109"/>
  <c r="AK109"/>
  <c r="T110"/>
  <c r="AD110"/>
  <c r="T111"/>
  <c r="AD111"/>
  <c r="T112"/>
  <c r="AD112"/>
  <c r="T113"/>
  <c r="AK113"/>
  <c r="T114"/>
  <c r="AH114"/>
  <c r="AI114" s="1"/>
  <c r="AJ114" s="1"/>
  <c r="T115"/>
  <c r="T116"/>
  <c r="U116"/>
  <c r="T117"/>
  <c r="U117"/>
  <c r="V117" s="1"/>
  <c r="AF117" s="1"/>
  <c r="AG117" s="1"/>
  <c r="T118"/>
  <c r="AD118"/>
  <c r="T119"/>
  <c r="AK119"/>
  <c r="T120"/>
  <c r="AK120"/>
  <c r="R125"/>
  <c r="R127" s="1"/>
  <c r="X125"/>
  <c r="I24" i="10"/>
  <c r="I25"/>
  <c r="T35"/>
  <c r="V35"/>
  <c r="AG35"/>
  <c r="T36"/>
  <c r="AL36" s="1"/>
  <c r="AL32" s="1"/>
  <c r="T37"/>
  <c r="V37"/>
  <c r="AG37"/>
  <c r="T38"/>
  <c r="AL38" s="1"/>
  <c r="T39"/>
  <c r="AL39"/>
  <c r="T40"/>
  <c r="AH40" s="1"/>
  <c r="T41"/>
  <c r="AI41" s="1"/>
  <c r="T42"/>
  <c r="AL42" s="1"/>
  <c r="T43"/>
  <c r="AH43"/>
  <c r="T44"/>
  <c r="AL44" s="1"/>
  <c r="T45"/>
  <c r="AL45" s="1"/>
  <c r="T46"/>
  <c r="V46"/>
  <c r="AG46"/>
  <c r="T47"/>
  <c r="AH47" s="1"/>
  <c r="T48"/>
  <c r="AI48" s="1"/>
  <c r="V48"/>
  <c r="AG48" s="1"/>
  <c r="T49"/>
  <c r="AI49" s="1"/>
  <c r="AJ49" s="1"/>
  <c r="T50"/>
  <c r="AL50" s="1"/>
  <c r="T51"/>
  <c r="V51"/>
  <c r="AG51" s="1"/>
  <c r="T52"/>
  <c r="AL52" s="1"/>
  <c r="V52"/>
  <c r="AG52"/>
  <c r="T53"/>
  <c r="AL53" s="1"/>
  <c r="T54"/>
  <c r="AL54" s="1"/>
  <c r="AI54"/>
  <c r="T55"/>
  <c r="V55" s="1"/>
  <c r="AG55" s="1"/>
  <c r="T56"/>
  <c r="AH56" s="1"/>
  <c r="T57"/>
  <c r="V57" s="1"/>
  <c r="AG57" s="1"/>
  <c r="AH57"/>
  <c r="T58"/>
  <c r="V58" s="1"/>
  <c r="AG58" s="1"/>
  <c r="T59"/>
  <c r="AI59" s="1"/>
  <c r="T60"/>
  <c r="AL60" s="1"/>
  <c r="V60"/>
  <c r="T61"/>
  <c r="V61" s="1"/>
  <c r="AG61" s="1"/>
  <c r="T62"/>
  <c r="V62" s="1"/>
  <c r="AG62" s="1"/>
  <c r="T63"/>
  <c r="AL63" s="1"/>
  <c r="AH63"/>
  <c r="T64"/>
  <c r="V64" s="1"/>
  <c r="AG64" s="1"/>
  <c r="AI64"/>
  <c r="T65"/>
  <c r="AI65"/>
  <c r="T66"/>
  <c r="V66" s="1"/>
  <c r="AG66" s="1"/>
  <c r="AI66"/>
  <c r="T67"/>
  <c r="AI67" s="1"/>
  <c r="T68"/>
  <c r="AH68" s="1"/>
  <c r="T69"/>
  <c r="V69" s="1"/>
  <c r="AG69" s="1"/>
  <c r="T70"/>
  <c r="AH70" s="1"/>
  <c r="T71"/>
  <c r="AH71" s="1"/>
  <c r="AL71"/>
  <c r="T72"/>
  <c r="AL72" s="1"/>
  <c r="T73"/>
  <c r="V73" s="1"/>
  <c r="AG73" s="1"/>
  <c r="T74"/>
  <c r="V74" s="1"/>
  <c r="AG74" s="1"/>
  <c r="T75"/>
  <c r="V75" s="1"/>
  <c r="AG75" s="1"/>
  <c r="AI75"/>
  <c r="AJ75" s="1"/>
  <c r="AK75" s="1"/>
  <c r="T76"/>
  <c r="AI76"/>
  <c r="T77"/>
  <c r="AH77" s="1"/>
  <c r="T78"/>
  <c r="AL78" s="1"/>
  <c r="T79"/>
  <c r="AI79" s="1"/>
  <c r="T80"/>
  <c r="V80"/>
  <c r="AG80" s="1"/>
  <c r="T81"/>
  <c r="V81" s="1"/>
  <c r="AG81" s="1"/>
  <c r="AI81"/>
  <c r="AJ81" s="1"/>
  <c r="AK81" s="1"/>
  <c r="T82"/>
  <c r="AL82" s="1"/>
  <c r="T83"/>
  <c r="AL83" s="1"/>
  <c r="V83"/>
  <c r="AG83" s="1"/>
  <c r="T84"/>
  <c r="V84"/>
  <c r="AG84" s="1"/>
  <c r="T85"/>
  <c r="AI85" s="1"/>
  <c r="T86"/>
  <c r="AL86" s="1"/>
  <c r="V86"/>
  <c r="AG86" s="1"/>
  <c r="AH87"/>
  <c r="T88"/>
  <c r="AI88" s="1"/>
  <c r="AL88"/>
  <c r="AG88"/>
  <c r="T89"/>
  <c r="AI89"/>
  <c r="AJ89"/>
  <c r="AK89" s="1"/>
  <c r="AG89"/>
  <c r="T90"/>
  <c r="AL90"/>
  <c r="T91"/>
  <c r="V91" s="1"/>
  <c r="AG91" s="1"/>
  <c r="T92"/>
  <c r="AI92" s="1"/>
  <c r="T93"/>
  <c r="R96"/>
  <c r="R97" s="1"/>
  <c r="U96"/>
  <c r="P2" i="16"/>
  <c r="T2"/>
  <c r="U2"/>
  <c r="V2"/>
  <c r="W2"/>
  <c r="X2"/>
  <c r="Y2"/>
  <c r="Q5"/>
  <c r="Z5" s="1"/>
  <c r="S5"/>
  <c r="R5" s="1"/>
  <c r="AA5"/>
  <c r="Q6"/>
  <c r="Z6" s="1"/>
  <c r="Z2" s="1"/>
  <c r="AA6"/>
  <c r="AA2" s="1"/>
  <c r="Q7"/>
  <c r="S7" s="1"/>
  <c r="R7" s="1"/>
  <c r="AA7"/>
  <c r="Q8"/>
  <c r="Z8" s="1"/>
  <c r="AA8"/>
  <c r="Q9"/>
  <c r="AB9" s="1"/>
  <c r="AA9"/>
  <c r="Q10"/>
  <c r="S10" s="1"/>
  <c r="R10" s="1"/>
  <c r="AA10"/>
  <c r="Q11"/>
  <c r="S11" s="1"/>
  <c r="R11" s="1"/>
  <c r="AA11"/>
  <c r="Q12"/>
  <c r="AB12" s="1"/>
  <c r="AA12"/>
  <c r="Q13"/>
  <c r="S13" s="1"/>
  <c r="R13" s="1"/>
  <c r="AA13"/>
  <c r="Q14"/>
  <c r="Z14" s="1"/>
  <c r="AA14"/>
  <c r="Q15"/>
  <c r="Z15" s="1"/>
  <c r="AA15"/>
  <c r="Q16"/>
  <c r="AB16" s="1"/>
  <c r="AA16"/>
  <c r="I23"/>
  <c r="I24"/>
  <c r="X1" i="12"/>
  <c r="Y1"/>
  <c r="Z1"/>
  <c r="AA1"/>
  <c r="AB1"/>
  <c r="AC1"/>
  <c r="AD1"/>
  <c r="AE1"/>
  <c r="AF1"/>
  <c r="AG1"/>
  <c r="AH1"/>
  <c r="U2"/>
  <c r="AK2" s="1"/>
  <c r="AJ2"/>
  <c r="U3"/>
  <c r="W3" s="1"/>
  <c r="AJ3"/>
  <c r="U4"/>
  <c r="AK4" s="1"/>
  <c r="AJ4"/>
  <c r="U5"/>
  <c r="AK5" s="1"/>
  <c r="AJ5"/>
  <c r="U6"/>
  <c r="AK6" s="1"/>
  <c r="AJ6"/>
  <c r="AM6"/>
  <c r="AJ1" s="1"/>
  <c r="U7"/>
  <c r="AI7" s="1"/>
  <c r="AJ7"/>
  <c r="U8"/>
  <c r="AK8" s="1"/>
  <c r="AJ8"/>
  <c r="U9"/>
  <c r="AK9" s="1"/>
  <c r="AJ9"/>
  <c r="U10"/>
  <c r="AK10" s="1"/>
  <c r="AJ10"/>
  <c r="U11"/>
  <c r="AK11" s="1"/>
  <c r="AJ11"/>
  <c r="U12"/>
  <c r="W12" s="1"/>
  <c r="AJ12"/>
  <c r="U13"/>
  <c r="W13" s="1"/>
  <c r="AJ13"/>
  <c r="I23"/>
  <c r="I24"/>
  <c r="F25"/>
  <c r="AB5" i="16"/>
  <c r="AL75" i="10"/>
  <c r="AI68"/>
  <c r="V39"/>
  <c r="AG39" s="1"/>
  <c r="W6" i="12"/>
  <c r="AL48" i="10"/>
  <c r="AH88"/>
  <c r="AH72"/>
  <c r="AE37" i="17"/>
  <c r="U63"/>
  <c r="W63"/>
  <c r="AD76"/>
  <c r="AD98"/>
  <c r="AE71"/>
  <c r="U52"/>
  <c r="V52" s="1"/>
  <c r="AF52" s="1"/>
  <c r="AG52" s="1"/>
  <c r="AH76"/>
  <c r="AJ76" s="1"/>
  <c r="AI76"/>
  <c r="AE61"/>
  <c r="U113"/>
  <c r="AD86"/>
  <c r="AD105"/>
  <c r="AE57"/>
  <c r="AK57"/>
  <c r="AH57"/>
  <c r="AI57" s="1"/>
  <c r="AJ57" s="1"/>
  <c r="AE78"/>
  <c r="AH79"/>
  <c r="AI79"/>
  <c r="AH120"/>
  <c r="AI120"/>
  <c r="AJ120"/>
  <c r="U100"/>
  <c r="V100" s="1"/>
  <c r="AF100" s="1"/>
  <c r="AG100" s="1"/>
  <c r="AK77"/>
  <c r="U114"/>
  <c r="W114" s="1"/>
  <c r="AH53"/>
  <c r="AI53"/>
  <c r="AH46"/>
  <c r="U39"/>
  <c r="W39"/>
  <c r="AE80"/>
  <c r="AD59"/>
  <c r="AK46"/>
  <c r="AK100"/>
  <c r="U120"/>
  <c r="V120" s="1"/>
  <c r="AF120" s="1"/>
  <c r="AG120" s="1"/>
  <c r="AE42"/>
  <c r="AE84"/>
  <c r="AK53"/>
  <c r="AH52"/>
  <c r="AJ52" s="1"/>
  <c r="AI52"/>
  <c r="AE92"/>
  <c r="U42"/>
  <c r="AK42"/>
  <c r="AE52"/>
  <c r="AK55"/>
  <c r="AD42"/>
  <c r="AD77"/>
  <c r="AK47"/>
  <c r="AE47"/>
  <c r="S15" i="16"/>
  <c r="R15" s="1"/>
  <c r="S16"/>
  <c r="R16"/>
  <c r="S6"/>
  <c r="S2" s="1"/>
  <c r="AB6"/>
  <c r="AB2" s="1"/>
  <c r="T18" s="1"/>
  <c r="C24" s="1"/>
  <c r="G24" s="1"/>
  <c r="I22" s="1"/>
  <c r="Z11"/>
  <c r="Z13"/>
  <c r="AE83" i="17"/>
  <c r="AH77"/>
  <c r="AI77" s="1"/>
  <c r="AJ77" s="1"/>
  <c r="AK63"/>
  <c r="W117"/>
  <c r="AH39"/>
  <c r="AK118"/>
  <c r="AD39"/>
  <c r="AD40"/>
  <c r="AE39"/>
  <c r="AE96"/>
  <c r="AD55"/>
  <c r="U45"/>
  <c r="W45"/>
  <c r="AH75"/>
  <c r="AI75"/>
  <c r="U48"/>
  <c r="V48"/>
  <c r="AF48"/>
  <c r="AE108"/>
  <c r="U112"/>
  <c r="V112"/>
  <c r="AF112"/>
  <c r="U105"/>
  <c r="V105" s="1"/>
  <c r="AF105" s="1"/>
  <c r="AG105" s="1"/>
  <c r="AE98"/>
  <c r="AD78"/>
  <c r="AE41"/>
  <c r="U77"/>
  <c r="W77"/>
  <c r="AH45"/>
  <c r="AI45" s="1"/>
  <c r="AJ45" s="1"/>
  <c r="AE110"/>
  <c r="AE45"/>
  <c r="AD75"/>
  <c r="AK117"/>
  <c r="U83"/>
  <c r="V83"/>
  <c r="AF83"/>
  <c r="AG83" s="1"/>
  <c r="AH63"/>
  <c r="AI63"/>
  <c r="AD45"/>
  <c r="V63"/>
  <c r="AF63"/>
  <c r="AH86" i="10"/>
  <c r="AL37"/>
  <c r="AI37"/>
  <c r="AJ37" s="1"/>
  <c r="AK37" s="1"/>
  <c r="V47"/>
  <c r="AG47" s="1"/>
  <c r="AL35"/>
  <c r="AI55"/>
  <c r="AI50"/>
  <c r="AJ50" s="1"/>
  <c r="AK50" s="1"/>
  <c r="AL73"/>
  <c r="AH35"/>
  <c r="AH37"/>
  <c r="AH65"/>
  <c r="V68"/>
  <c r="AG68" s="1"/>
  <c r="AI39"/>
  <c r="AJ39" s="1"/>
  <c r="AK39" s="1"/>
  <c r="AI47"/>
  <c r="AJ47" s="1"/>
  <c r="AK47" s="1"/>
  <c r="AH55"/>
  <c r="AL65"/>
  <c r="AL81"/>
  <c r="V49"/>
  <c r="AG49" s="1"/>
  <c r="AL59"/>
  <c r="AI71"/>
  <c r="AJ71" s="1"/>
  <c r="AK71" s="1"/>
  <c r="V71"/>
  <c r="AG71" s="1"/>
  <c r="AH39"/>
  <c r="V65"/>
  <c r="AG65" s="1"/>
  <c r="AI72"/>
  <c r="AJ72" s="1"/>
  <c r="AH58"/>
  <c r="V77"/>
  <c r="AG77" s="1"/>
  <c r="AH59"/>
  <c r="AI51"/>
  <c r="AJ51" s="1"/>
  <c r="AK51" s="1"/>
  <c r="AL85"/>
  <c r="AI78"/>
  <c r="AI86"/>
  <c r="AL51"/>
  <c r="V78"/>
  <c r="AG78" s="1"/>
  <c r="AI62"/>
  <c r="AH73"/>
  <c r="AL43"/>
  <c r="AH78"/>
  <c r="AL62"/>
  <c r="AI80"/>
  <c r="AJ80" s="1"/>
  <c r="AL89"/>
  <c r="AI73"/>
  <c r="AI35"/>
  <c r="AJ35" s="1"/>
  <c r="AK35" s="1"/>
  <c r="V43"/>
  <c r="AG43" s="1"/>
  <c r="AL80"/>
  <c r="AI52"/>
  <c r="AJ52" s="1"/>
  <c r="AK52" s="1"/>
  <c r="AJ66"/>
  <c r="AG60"/>
  <c r="AH92"/>
  <c r="V92"/>
  <c r="AG92"/>
  <c r="AI38"/>
  <c r="V42"/>
  <c r="AG42" s="1"/>
  <c r="AL92"/>
  <c r="AL56"/>
  <c r="AH38"/>
  <c r="AL40"/>
  <c r="AH60"/>
  <c r="AI58"/>
  <c r="AJ58" s="1"/>
  <c r="AK58" s="1"/>
  <c r="AH80"/>
  <c r="AL55"/>
  <c r="AH54"/>
  <c r="AL64"/>
  <c r="AI82"/>
  <c r="AI43"/>
  <c r="V38"/>
  <c r="AG38" s="1"/>
  <c r="AL58"/>
  <c r="AI42"/>
  <c r="AL84"/>
  <c r="AI60"/>
  <c r="AJ60" s="1"/>
  <c r="AK60" s="1"/>
  <c r="AL66"/>
  <c r="V72"/>
  <c r="AG72" s="1"/>
  <c r="V40"/>
  <c r="AG40" s="1"/>
  <c r="AH75"/>
  <c r="AH84"/>
  <c r="AH66"/>
  <c r="AH64"/>
  <c r="AI40"/>
  <c r="AJ76"/>
  <c r="AK76" s="1"/>
  <c r="AH93"/>
  <c r="V93"/>
  <c r="AG93" s="1"/>
  <c r="AL93"/>
  <c r="AI93"/>
  <c r="AH61"/>
  <c r="AI90"/>
  <c r="AJ90" s="1"/>
  <c r="AK90" s="1"/>
  <c r="AH90"/>
  <c r="V90"/>
  <c r="AG90"/>
  <c r="V63"/>
  <c r="AG63" s="1"/>
  <c r="AI63"/>
  <c r="AI57"/>
  <c r="AL57"/>
  <c r="AL46"/>
  <c r="AI46"/>
  <c r="AH46"/>
  <c r="AH41"/>
  <c r="V41"/>
  <c r="AG41" s="1"/>
  <c r="AL41"/>
  <c r="AH76"/>
  <c r="AL76"/>
  <c r="V76"/>
  <c r="AG76" s="1"/>
  <c r="AL74"/>
  <c r="AI74"/>
  <c r="AJ74" s="1"/>
  <c r="AK74" s="1"/>
  <c r="AH74"/>
  <c r="AL67"/>
  <c r="V67"/>
  <c r="AG67" s="1"/>
  <c r="AH67"/>
  <c r="AI83"/>
  <c r="V36"/>
  <c r="AG36" s="1"/>
  <c r="AG32" s="1"/>
  <c r="AH36"/>
  <c r="AH32" s="1"/>
  <c r="AI36"/>
  <c r="AJ36" s="1"/>
  <c r="AL91"/>
  <c r="AH89"/>
  <c r="V79"/>
  <c r="AG79" s="1"/>
  <c r="AI56"/>
  <c r="AI84"/>
  <c r="U88" i="17"/>
  <c r="W88"/>
  <c r="U96"/>
  <c r="AH108"/>
  <c r="AI108"/>
  <c r="AJ108"/>
  <c r="AD41"/>
  <c r="AE120"/>
  <c r="AK105"/>
  <c r="AD63"/>
  <c r="AK76"/>
  <c r="AH47"/>
  <c r="AJ47" s="1"/>
  <c r="AI47"/>
  <c r="AK56"/>
  <c r="AH55"/>
  <c r="AI55"/>
  <c r="AD50"/>
  <c r="AK102"/>
  <c r="AD113"/>
  <c r="AK60"/>
  <c r="AD47"/>
  <c r="W100"/>
  <c r="AD120"/>
  <c r="AD96"/>
  <c r="AH62"/>
  <c r="AE105"/>
  <c r="AK90"/>
  <c r="AE90"/>
  <c r="AD67"/>
  <c r="U50"/>
  <c r="V50" s="1"/>
  <c r="AF50" s="1"/>
  <c r="AG50" s="1"/>
  <c r="AE113"/>
  <c r="AE94"/>
  <c r="U102"/>
  <c r="W102" s="1"/>
  <c r="AE112"/>
  <c r="AK96"/>
  <c r="AE62"/>
  <c r="AK85"/>
  <c r="AK62"/>
  <c r="AD46"/>
  <c r="AD102"/>
  <c r="AD43"/>
  <c r="AK70"/>
  <c r="U40"/>
  <c r="W40" s="1"/>
  <c r="AD108"/>
  <c r="AK78"/>
  <c r="AD62"/>
  <c r="AE81"/>
  <c r="AH103"/>
  <c r="AE67"/>
  <c r="AH70"/>
  <c r="AJ70" s="1"/>
  <c r="AI70"/>
  <c r="AK79"/>
  <c r="U108"/>
  <c r="AH85"/>
  <c r="AH113"/>
  <c r="AJ113" s="1"/>
  <c r="AI113"/>
  <c r="U111"/>
  <c r="W111" s="1"/>
  <c r="AK98"/>
  <c r="W83"/>
  <c r="AD37"/>
  <c r="AH109"/>
  <c r="AJ109" s="1"/>
  <c r="AI109"/>
  <c r="U98"/>
  <c r="W98" s="1"/>
  <c r="U81"/>
  <c r="W81" s="1"/>
  <c r="AG78"/>
  <c r="AK67"/>
  <c r="AD109"/>
  <c r="W78"/>
  <c r="AE102"/>
  <c r="V79"/>
  <c r="AF79"/>
  <c r="AG79" s="1"/>
  <c r="AH54"/>
  <c r="AI54" s="1"/>
  <c r="AJ54" s="1"/>
  <c r="AK43"/>
  <c r="AH67"/>
  <c r="AI67" s="1"/>
  <c r="AJ67" s="1"/>
  <c r="AK114"/>
  <c r="AD85"/>
  <c r="AD79"/>
  <c r="W52"/>
  <c r="AK37"/>
  <c r="U46"/>
  <c r="V46" s="1"/>
  <c r="AF46" s="1"/>
  <c r="AG46" s="1"/>
  <c r="AE75"/>
  <c r="AE114"/>
  <c r="AK81"/>
  <c r="W48"/>
  <c r="AD54"/>
  <c r="U43"/>
  <c r="V43"/>
  <c r="AF43" s="1"/>
  <c r="AG43" s="1"/>
  <c r="U85"/>
  <c r="AH78"/>
  <c r="AD114"/>
  <c r="U84"/>
  <c r="AK54"/>
  <c r="AD100"/>
  <c r="U95"/>
  <c r="AH95"/>
  <c r="AD95"/>
  <c r="AK95"/>
  <c r="AE95"/>
  <c r="AD82"/>
  <c r="U82"/>
  <c r="AK82"/>
  <c r="AH82"/>
  <c r="AJ82" s="1"/>
  <c r="AI82"/>
  <c r="V70"/>
  <c r="AF70" s="1"/>
  <c r="AG70" s="1"/>
  <c r="W70"/>
  <c r="AH35"/>
  <c r="AK35"/>
  <c r="AD35"/>
  <c r="AE35"/>
  <c r="AD44"/>
  <c r="AE44"/>
  <c r="U44"/>
  <c r="AK44"/>
  <c r="AH44"/>
  <c r="AJ79"/>
  <c r="U35"/>
  <c r="V35"/>
  <c r="AF35" s="1"/>
  <c r="AG35" s="1"/>
  <c r="V116"/>
  <c r="AF116" s="1"/>
  <c r="AG116" s="1"/>
  <c r="W116"/>
  <c r="AK104"/>
  <c r="AE104"/>
  <c r="AE87"/>
  <c r="AH87"/>
  <c r="U87"/>
  <c r="AK87"/>
  <c r="AK71"/>
  <c r="U71"/>
  <c r="AH71"/>
  <c r="AI71" s="1"/>
  <c r="AJ71" s="1"/>
  <c r="AD71"/>
  <c r="AE89"/>
  <c r="AK89"/>
  <c r="AH89"/>
  <c r="AI89" s="1"/>
  <c r="AJ89" s="1"/>
  <c r="AD89"/>
  <c r="AE107"/>
  <c r="U107"/>
  <c r="W107" s="1"/>
  <c r="AK107"/>
  <c r="AD107"/>
  <c r="AE68"/>
  <c r="AD68"/>
  <c r="AH68"/>
  <c r="AK68"/>
  <c r="U68"/>
  <c r="W68" s="1"/>
  <c r="U58"/>
  <c r="AE58"/>
  <c r="AK58"/>
  <c r="AD58"/>
  <c r="AE82"/>
  <c r="AH58"/>
  <c r="AH107"/>
  <c r="AI107" s="1"/>
  <c r="AJ107" s="1"/>
  <c r="U104"/>
  <c r="V104"/>
  <c r="AF104" s="1"/>
  <c r="AG104" s="1"/>
  <c r="U119"/>
  <c r="AE119"/>
  <c r="AD119"/>
  <c r="AH119"/>
  <c r="AJ75"/>
  <c r="AK92"/>
  <c r="AE88"/>
  <c r="U106"/>
  <c r="AH84"/>
  <c r="AH48"/>
  <c r="AI48" s="1"/>
  <c r="AJ48" s="1"/>
  <c r="AH92"/>
  <c r="AI92"/>
  <c r="AJ92" s="1"/>
  <c r="AE116"/>
  <c r="AH106"/>
  <c r="AD92"/>
  <c r="AK88"/>
  <c r="AE43"/>
  <c r="U75"/>
  <c r="AD117"/>
  <c r="AE55"/>
  <c r="AE109"/>
  <c r="AE106"/>
  <c r="AK116"/>
  <c r="AH116"/>
  <c r="AJ116" s="1"/>
  <c r="AI116"/>
  <c r="AD116"/>
  <c r="AE48"/>
  <c r="AD83"/>
  <c r="U109"/>
  <c r="AD106"/>
  <c r="AH81"/>
  <c r="AD48"/>
  <c r="U41"/>
  <c r="AD84"/>
  <c r="U57"/>
  <c r="AE111"/>
  <c r="AE56"/>
  <c r="AD103"/>
  <c r="AK103"/>
  <c r="AK112"/>
  <c r="AH112"/>
  <c r="AH41"/>
  <c r="AI41"/>
  <c r="AJ41"/>
  <c r="AH83"/>
  <c r="AE103"/>
  <c r="AE38"/>
  <c r="AD38"/>
  <c r="AH38"/>
  <c r="AK64"/>
  <c r="AD64"/>
  <c r="AE64"/>
  <c r="AH64"/>
  <c r="U64"/>
  <c r="AE72"/>
  <c r="U72"/>
  <c r="AK72"/>
  <c r="AH72"/>
  <c r="AD72"/>
  <c r="AI44"/>
  <c r="AJ44"/>
  <c r="V113"/>
  <c r="AF113"/>
  <c r="W113"/>
  <c r="AI40"/>
  <c r="AJ40" s="1"/>
  <c r="AK38"/>
  <c r="AH69"/>
  <c r="AK69"/>
  <c r="U69"/>
  <c r="AD69"/>
  <c r="AE69"/>
  <c r="AK66"/>
  <c r="AD66"/>
  <c r="U66"/>
  <c r="AH66"/>
  <c r="AE66"/>
  <c r="V37"/>
  <c r="AF37"/>
  <c r="AG37"/>
  <c r="W37"/>
  <c r="AH74"/>
  <c r="AD74"/>
  <c r="AE74"/>
  <c r="U74"/>
  <c r="W120"/>
  <c r="V84"/>
  <c r="AF84"/>
  <c r="W84"/>
  <c r="W59"/>
  <c r="AD101"/>
  <c r="AE101"/>
  <c r="U101"/>
  <c r="AH101"/>
  <c r="AK101"/>
  <c r="AH97"/>
  <c r="AD97"/>
  <c r="U97"/>
  <c r="AK97"/>
  <c r="AE93"/>
  <c r="AK93"/>
  <c r="AD93"/>
  <c r="U93"/>
  <c r="AK51"/>
  <c r="U51"/>
  <c r="AH51"/>
  <c r="AD51"/>
  <c r="V45"/>
  <c r="AF45"/>
  <c r="AG45" s="1"/>
  <c r="W86"/>
  <c r="V86"/>
  <c r="AF86"/>
  <c r="V81"/>
  <c r="AF81"/>
  <c r="AG81"/>
  <c r="AE115"/>
  <c r="AK115"/>
  <c r="U115"/>
  <c r="AD115"/>
  <c r="AH115"/>
  <c r="AE59"/>
  <c r="AK59"/>
  <c r="AH59"/>
  <c r="V114"/>
  <c r="AF114"/>
  <c r="W54"/>
  <c r="U91"/>
  <c r="AE91"/>
  <c r="AK91"/>
  <c r="AD91"/>
  <c r="AH86"/>
  <c r="AK86"/>
  <c r="W71"/>
  <c r="V71"/>
  <c r="AF71"/>
  <c r="AG71"/>
  <c r="AE40"/>
  <c r="AG40" s="1"/>
  <c r="AK40"/>
  <c r="AE117"/>
  <c r="AE86"/>
  <c r="AD99"/>
  <c r="AK99"/>
  <c r="AE99"/>
  <c r="U99"/>
  <c r="AH99"/>
  <c r="V39"/>
  <c r="AF39"/>
  <c r="AG39" s="1"/>
  <c r="AE100"/>
  <c r="AH117"/>
  <c r="AH91"/>
  <c r="AK111"/>
  <c r="AH111"/>
  <c r="AK80"/>
  <c r="U80"/>
  <c r="AD80"/>
  <c r="AD60"/>
  <c r="U60"/>
  <c r="AE60"/>
  <c r="AK52"/>
  <c r="AH104"/>
  <c r="AD104"/>
  <c r="AH73"/>
  <c r="AH32" s="1"/>
  <c r="R126" s="1"/>
  <c r="C25" s="1"/>
  <c r="C26" s="1"/>
  <c r="AK73"/>
  <c r="AD73"/>
  <c r="AD32"/>
  <c r="U73"/>
  <c r="U32"/>
  <c r="AH49"/>
  <c r="AK49"/>
  <c r="U49"/>
  <c r="AE36"/>
  <c r="AK36"/>
  <c r="AH36"/>
  <c r="AD36"/>
  <c r="AD49"/>
  <c r="AE49"/>
  <c r="AH110"/>
  <c r="U110"/>
  <c r="AK110"/>
  <c r="AD94"/>
  <c r="AK94"/>
  <c r="AH94"/>
  <c r="AD56"/>
  <c r="U56"/>
  <c r="AK65"/>
  <c r="U65"/>
  <c r="AE65"/>
  <c r="AH65"/>
  <c r="AH61"/>
  <c r="AK61"/>
  <c r="AI98"/>
  <c r="AJ98" s="1"/>
  <c r="U61"/>
  <c r="AD70"/>
  <c r="AE70"/>
  <c r="AJ53"/>
  <c r="U118"/>
  <c r="AH118"/>
  <c r="AE118"/>
  <c r="U90"/>
  <c r="AD90"/>
  <c r="AD53"/>
  <c r="AE53"/>
  <c r="AH50"/>
  <c r="AK50"/>
  <c r="W42"/>
  <c r="V42"/>
  <c r="AF42"/>
  <c r="AG42" s="1"/>
  <c r="R98" i="10"/>
  <c r="S14" i="16"/>
  <c r="R14" s="1"/>
  <c r="S9"/>
  <c r="R9" s="1"/>
  <c r="Q2"/>
  <c r="W50" i="17"/>
  <c r="AG84"/>
  <c r="W105"/>
  <c r="W104"/>
  <c r="AJ63"/>
  <c r="W112"/>
  <c r="V98"/>
  <c r="AF98" s="1"/>
  <c r="AG98" s="1"/>
  <c r="AG48"/>
  <c r="V77"/>
  <c r="AF77" s="1"/>
  <c r="AG77" s="1"/>
  <c r="AG112"/>
  <c r="V102"/>
  <c r="AF102" s="1"/>
  <c r="AG102" s="1"/>
  <c r="V88"/>
  <c r="AF88"/>
  <c r="AG88" s="1"/>
  <c r="AI103"/>
  <c r="AJ103" s="1"/>
  <c r="V32" i="10"/>
  <c r="AJ43"/>
  <c r="AK43"/>
  <c r="AJ46"/>
  <c r="AK46" s="1"/>
  <c r="AJ84"/>
  <c r="AJ83"/>
  <c r="AJ57"/>
  <c r="AJ63"/>
  <c r="W46" i="17"/>
  <c r="AI81"/>
  <c r="AJ81" s="1"/>
  <c r="V111"/>
  <c r="AF111" s="1"/>
  <c r="AG111" s="1"/>
  <c r="W96"/>
  <c r="V96"/>
  <c r="AF96" s="1"/>
  <c r="AG96" s="1"/>
  <c r="AJ55"/>
  <c r="AG113"/>
  <c r="AI62"/>
  <c r="AJ62" s="1"/>
  <c r="W35"/>
  <c r="V40"/>
  <c r="AF40"/>
  <c r="V85"/>
  <c r="AF85" s="1"/>
  <c r="AG85" s="1"/>
  <c r="W85"/>
  <c r="AI78"/>
  <c r="AJ78"/>
  <c r="W43"/>
  <c r="AG114"/>
  <c r="V107"/>
  <c r="AF107"/>
  <c r="AG107" s="1"/>
  <c r="W108"/>
  <c r="V108"/>
  <c r="AF108"/>
  <c r="AG108" s="1"/>
  <c r="AI112"/>
  <c r="AJ112" s="1"/>
  <c r="V57"/>
  <c r="AF57" s="1"/>
  <c r="AG57" s="1"/>
  <c r="W57"/>
  <c r="V109"/>
  <c r="AF109" s="1"/>
  <c r="AG109" s="1"/>
  <c r="W109"/>
  <c r="AG86"/>
  <c r="V68"/>
  <c r="AF68"/>
  <c r="AG68" s="1"/>
  <c r="AI35"/>
  <c r="AJ35" s="1"/>
  <c r="W75"/>
  <c r="V75"/>
  <c r="AF75"/>
  <c r="AG75" s="1"/>
  <c r="AI84"/>
  <c r="AJ84" s="1"/>
  <c r="W58"/>
  <c r="V58"/>
  <c r="AF58"/>
  <c r="AG58" s="1"/>
  <c r="V41"/>
  <c r="AF41" s="1"/>
  <c r="AG41" s="1"/>
  <c r="W41"/>
  <c r="V106"/>
  <c r="AF106" s="1"/>
  <c r="AG106" s="1"/>
  <c r="W106"/>
  <c r="V44"/>
  <c r="AF44" s="1"/>
  <c r="AG44" s="1"/>
  <c r="W44"/>
  <c r="AI68"/>
  <c r="AJ68" s="1"/>
  <c r="AI119"/>
  <c r="AJ119" s="1"/>
  <c r="AI83"/>
  <c r="AJ83" s="1"/>
  <c r="AI58"/>
  <c r="AJ58" s="1"/>
  <c r="W95"/>
  <c r="V95"/>
  <c r="AF95"/>
  <c r="AG95" s="1"/>
  <c r="AI106"/>
  <c r="AJ106" s="1"/>
  <c r="W119"/>
  <c r="V119"/>
  <c r="AF119"/>
  <c r="AG119" s="1"/>
  <c r="V87"/>
  <c r="AF87" s="1"/>
  <c r="AG87" s="1"/>
  <c r="W87"/>
  <c r="V82"/>
  <c r="AF82" s="1"/>
  <c r="AG82" s="1"/>
  <c r="W82"/>
  <c r="AI95"/>
  <c r="AJ95" s="1"/>
  <c r="AI87"/>
  <c r="AJ87"/>
  <c r="AI61"/>
  <c r="AJ61"/>
  <c r="V97"/>
  <c r="AF97"/>
  <c r="AG97" s="1"/>
  <c r="W97"/>
  <c r="V110"/>
  <c r="AF110"/>
  <c r="AG110" s="1"/>
  <c r="W110"/>
  <c r="AI117"/>
  <c r="AJ117"/>
  <c r="AI59"/>
  <c r="AJ59"/>
  <c r="AI110"/>
  <c r="AJ110"/>
  <c r="AI36"/>
  <c r="AJ36"/>
  <c r="V73"/>
  <c r="V32"/>
  <c r="W73"/>
  <c r="W32"/>
  <c r="W60"/>
  <c r="V60"/>
  <c r="AF60" s="1"/>
  <c r="AG60" s="1"/>
  <c r="AI86"/>
  <c r="AJ86"/>
  <c r="V93"/>
  <c r="AF93"/>
  <c r="AG93" s="1"/>
  <c r="W93"/>
  <c r="V64"/>
  <c r="AF64"/>
  <c r="AG64" s="1"/>
  <c r="W64"/>
  <c r="AI115"/>
  <c r="AJ115"/>
  <c r="AI101"/>
  <c r="AJ101"/>
  <c r="AI74"/>
  <c r="AJ74"/>
  <c r="AI64"/>
  <c r="AJ64"/>
  <c r="AI104"/>
  <c r="AJ104"/>
  <c r="W72"/>
  <c r="V72"/>
  <c r="AF72" s="1"/>
  <c r="AG72" s="1"/>
  <c r="W61"/>
  <c r="V61"/>
  <c r="AF61" s="1"/>
  <c r="AG61" s="1"/>
  <c r="V56"/>
  <c r="AF56"/>
  <c r="AG56" s="1"/>
  <c r="W56"/>
  <c r="AI38"/>
  <c r="AJ38"/>
  <c r="W90"/>
  <c r="V90"/>
  <c r="AF90" s="1"/>
  <c r="AG90" s="1"/>
  <c r="AI118"/>
  <c r="AJ118"/>
  <c r="AI111"/>
  <c r="AJ111"/>
  <c r="W101"/>
  <c r="V101"/>
  <c r="AF101" s="1"/>
  <c r="AG101" s="1"/>
  <c r="W118"/>
  <c r="V118"/>
  <c r="AF118" s="1"/>
  <c r="AG118" s="1"/>
  <c r="W49"/>
  <c r="V49"/>
  <c r="AF49" s="1"/>
  <c r="AG49" s="1"/>
  <c r="V80"/>
  <c r="AF80"/>
  <c r="AG80" s="1"/>
  <c r="W80"/>
  <c r="W115"/>
  <c r="V115"/>
  <c r="AF115" s="1"/>
  <c r="AG115" s="1"/>
  <c r="AI51"/>
  <c r="AJ51"/>
  <c r="AI72"/>
  <c r="AJ72"/>
  <c r="AI49"/>
  <c r="AJ49"/>
  <c r="AI91"/>
  <c r="AJ91"/>
  <c r="W99"/>
  <c r="V99"/>
  <c r="AF99" s="1"/>
  <c r="AG99" s="1"/>
  <c r="V66"/>
  <c r="AF66"/>
  <c r="AG66" s="1"/>
  <c r="W66"/>
  <c r="AI65"/>
  <c r="AJ65"/>
  <c r="W74"/>
  <c r="V74"/>
  <c r="AF74" s="1"/>
  <c r="AG74" s="1"/>
  <c r="AI97"/>
  <c r="AJ97"/>
  <c r="W65"/>
  <c r="V65"/>
  <c r="AF65" s="1"/>
  <c r="AG65" s="1"/>
  <c r="AI50"/>
  <c r="AJ50"/>
  <c r="AI94"/>
  <c r="AJ94"/>
  <c r="AI73"/>
  <c r="W69"/>
  <c r="V69"/>
  <c r="AF69" s="1"/>
  <c r="AG69" s="1"/>
  <c r="AI99"/>
  <c r="AJ99"/>
  <c r="V91"/>
  <c r="AF91"/>
  <c r="AG91" s="1"/>
  <c r="W91"/>
  <c r="W51"/>
  <c r="V51"/>
  <c r="AF51" s="1"/>
  <c r="AI66"/>
  <c r="AJ66"/>
  <c r="AI69"/>
  <c r="AJ69"/>
  <c r="AI32"/>
  <c r="X126" s="1"/>
  <c r="AJ73"/>
  <c r="AJ32" s="1"/>
  <c r="AF73"/>
  <c r="AF32"/>
  <c r="AG73"/>
  <c r="AG32" s="1"/>
  <c r="X124" l="1"/>
  <c r="AI93"/>
  <c r="AJ93" s="1"/>
  <c r="W89"/>
  <c r="V89"/>
  <c r="AF89" s="1"/>
  <c r="AG89" s="1"/>
  <c r="V55"/>
  <c r="AF55" s="1"/>
  <c r="AG55" s="1"/>
  <c r="W55"/>
  <c r="V53"/>
  <c r="AF53" s="1"/>
  <c r="AG53" s="1"/>
  <c r="W53"/>
  <c r="W47"/>
  <c r="V47"/>
  <c r="AF47" s="1"/>
  <c r="AG47" s="1"/>
  <c r="W38"/>
  <c r="V38"/>
  <c r="AF38" s="1"/>
  <c r="AG38" s="1"/>
  <c r="W103"/>
  <c r="V103"/>
  <c r="AF103" s="1"/>
  <c r="AG103" s="1"/>
  <c r="AJ100"/>
  <c r="AI100"/>
  <c r="V94"/>
  <c r="AF94" s="1"/>
  <c r="AG94" s="1"/>
  <c r="W94"/>
  <c r="AI90"/>
  <c r="AJ90" s="1"/>
  <c r="W62"/>
  <c r="V62"/>
  <c r="AF62" s="1"/>
  <c r="AG62" s="1"/>
  <c r="AJ56"/>
  <c r="AI56"/>
  <c r="V36"/>
  <c r="AF36" s="1"/>
  <c r="AG36" s="1"/>
  <c r="W36"/>
  <c r="AJ85"/>
  <c r="AG51"/>
  <c r="AJ37"/>
  <c r="AI37"/>
  <c r="AI96"/>
  <c r="AJ96"/>
  <c r="V92"/>
  <c r="AF92" s="1"/>
  <c r="AG92" s="1"/>
  <c r="W92"/>
  <c r="AI88"/>
  <c r="AJ88"/>
  <c r="W67"/>
  <c r="V67"/>
  <c r="AF67" s="1"/>
  <c r="AG67" s="1"/>
  <c r="AI43"/>
  <c r="AJ43" s="1"/>
  <c r="AI85"/>
  <c r="AI39"/>
  <c r="AJ39" s="1"/>
  <c r="AI46"/>
  <c r="AJ46" s="1"/>
  <c r="U76"/>
  <c r="G26"/>
  <c r="I24" s="1"/>
  <c r="U128"/>
  <c r="Q128"/>
  <c r="I23"/>
  <c r="AJ92" i="10"/>
  <c r="AK92" s="1"/>
  <c r="AK84"/>
  <c r="AK83"/>
  <c r="AK86"/>
  <c r="W98"/>
  <c r="V50"/>
  <c r="AG50" s="1"/>
  <c r="AK63"/>
  <c r="AJ82"/>
  <c r="AK82" s="1"/>
  <c r="AJ86"/>
  <c r="AL49"/>
  <c r="AK57"/>
  <c r="AJ55"/>
  <c r="AK55" s="1"/>
  <c r="AL68"/>
  <c r="AK72"/>
  <c r="AK66"/>
  <c r="U97"/>
  <c r="G24" s="1"/>
  <c r="U99" s="1"/>
  <c r="C24"/>
  <c r="AJ32"/>
  <c r="AK36"/>
  <c r="AK32" s="1"/>
  <c r="AK67"/>
  <c r="AJ67"/>
  <c r="AJ41"/>
  <c r="AK41"/>
  <c r="AK56"/>
  <c r="AJ88"/>
  <c r="AK88" s="1"/>
  <c r="AJ85"/>
  <c r="AK85" s="1"/>
  <c r="AJ79"/>
  <c r="AK79" s="1"/>
  <c r="AK48"/>
  <c r="AJ48"/>
  <c r="AJ59"/>
  <c r="AK59" s="1"/>
  <c r="AJ56"/>
  <c r="AI91"/>
  <c r="AI32"/>
  <c r="AH83"/>
  <c r="AJ40"/>
  <c r="AK40" s="1"/>
  <c r="AJ42"/>
  <c r="AK42" s="1"/>
  <c r="V54"/>
  <c r="AG54" s="1"/>
  <c r="AJ38"/>
  <c r="AK38" s="1"/>
  <c r="AH62"/>
  <c r="AJ73"/>
  <c r="AK73" s="1"/>
  <c r="AJ62"/>
  <c r="AK62" s="1"/>
  <c r="AK49"/>
  <c r="AJ78"/>
  <c r="AK78" s="1"/>
  <c r="AI70"/>
  <c r="AL77"/>
  <c r="V70"/>
  <c r="AG70" s="1"/>
  <c r="AJ68"/>
  <c r="AK68" s="1"/>
  <c r="AH91"/>
  <c r="AL79"/>
  <c r="AI77"/>
  <c r="AL70"/>
  <c r="AJ65"/>
  <c r="AK65" s="1"/>
  <c r="AJ64"/>
  <c r="AK64" s="1"/>
  <c r="V59"/>
  <c r="AG59" s="1"/>
  <c r="AI45"/>
  <c r="AH44"/>
  <c r="AH42"/>
  <c r="AJ93"/>
  <c r="AK93" s="1"/>
  <c r="AK80"/>
  <c r="AH79"/>
  <c r="AI61"/>
  <c r="V56"/>
  <c r="AG56" s="1"/>
  <c r="V85"/>
  <c r="AG85" s="1"/>
  <c r="AI44"/>
  <c r="AH82"/>
  <c r="AH81"/>
  <c r="AH45"/>
  <c r="V45"/>
  <c r="AG45" s="1"/>
  <c r="AJ54"/>
  <c r="AK54" s="1"/>
  <c r="AI53"/>
  <c r="V82"/>
  <c r="AG82" s="1"/>
  <c r="AI69"/>
  <c r="AH69"/>
  <c r="AH85"/>
  <c r="AL69"/>
  <c r="AL47"/>
  <c r="AL61"/>
  <c r="V53"/>
  <c r="AG53" s="1"/>
  <c r="V44"/>
  <c r="AG44" s="1"/>
  <c r="Z10" i="16"/>
  <c r="Z9"/>
  <c r="AB10"/>
  <c r="Z16"/>
  <c r="S8"/>
  <c r="R8" s="1"/>
  <c r="AB15"/>
  <c r="AB7"/>
  <c r="AB14"/>
  <c r="AB13"/>
  <c r="Z12"/>
  <c r="Z7"/>
  <c r="R6"/>
  <c r="R2" s="1"/>
  <c r="AB11"/>
  <c r="AB8"/>
  <c r="S12"/>
  <c r="R12" s="1"/>
  <c r="AK3" i="12"/>
  <c r="AI5"/>
  <c r="W5"/>
  <c r="AI3"/>
  <c r="AI8"/>
  <c r="W2"/>
  <c r="AI4"/>
  <c r="AI1" s="1"/>
  <c r="AI13"/>
  <c r="AI6"/>
  <c r="AK13"/>
  <c r="W8"/>
  <c r="AB17"/>
  <c r="AM8" s="1"/>
  <c r="AI9"/>
  <c r="W9"/>
  <c r="W4"/>
  <c r="W1" s="1"/>
  <c r="AI2"/>
  <c r="W10"/>
  <c r="AI12"/>
  <c r="AK12"/>
  <c r="W11"/>
  <c r="AI10"/>
  <c r="AI11"/>
  <c r="AK7"/>
  <c r="W7"/>
  <c r="V76" i="17" l="1"/>
  <c r="AF76" s="1"/>
  <c r="AG76" s="1"/>
  <c r="W76"/>
  <c r="C25" i="10"/>
  <c r="I22" s="1"/>
  <c r="R99"/>
  <c r="X98"/>
  <c r="G25"/>
  <c r="I23" s="1"/>
  <c r="AJ69"/>
  <c r="AK69"/>
  <c r="AJ44"/>
  <c r="AK44" s="1"/>
  <c r="AJ70"/>
  <c r="AK70" s="1"/>
  <c r="AJ91"/>
  <c r="AK91" s="1"/>
  <c r="AJ77"/>
  <c r="AK77" s="1"/>
  <c r="AJ61"/>
  <c r="AK61" s="1"/>
  <c r="AJ53"/>
  <c r="AK53" s="1"/>
  <c r="AJ45"/>
  <c r="AK45" s="1"/>
  <c r="C24" i="12"/>
  <c r="G24" s="1"/>
  <c r="I22" s="1"/>
  <c r="AB18"/>
</calcChain>
</file>

<file path=xl/sharedStrings.xml><?xml version="1.0" encoding="utf-8"?>
<sst xmlns="http://schemas.openxmlformats.org/spreadsheetml/2006/main" count="625" uniqueCount="272">
  <si>
    <t>Course</t>
  </si>
  <si>
    <t>Code Article</t>
  </si>
  <si>
    <t>EA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</si>
  <si>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</si>
  <si>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</si>
  <si>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</si>
  <si>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</si>
  <si>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</si>
  <si>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</si>
  <si>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</si>
  <si>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</si>
  <si>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</si>
  <si>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1/4'</t>
  </si>
  <si>
    <t>3/8'</t>
  </si>
  <si>
    <t>1/2'</t>
  </si>
  <si>
    <t>J</t>
  </si>
  <si>
    <t>Poids</t>
  </si>
  <si>
    <t>K</t>
  </si>
  <si>
    <t>Type</t>
  </si>
  <si>
    <t>EP</t>
  </si>
  <si>
    <t>140x100</t>
  </si>
  <si>
    <t>D.Tige</t>
  </si>
  <si>
    <t>Vol. d'huile en litre</t>
  </si>
  <si>
    <t>Kg</t>
  </si>
  <si>
    <t>GC</t>
  </si>
  <si>
    <t>PC</t>
  </si>
  <si>
    <t>mm</t>
  </si>
  <si>
    <t>140x90</t>
  </si>
  <si>
    <t>125x70</t>
  </si>
  <si>
    <t>220x110</t>
  </si>
  <si>
    <t>TIGE</t>
  </si>
  <si>
    <t>401.020.0****</t>
  </si>
  <si>
    <t>401.030.0****</t>
  </si>
  <si>
    <t>401.040.0****</t>
  </si>
  <si>
    <t>401.045.0****</t>
  </si>
  <si>
    <t>401.050.0****</t>
  </si>
  <si>
    <t>401.055.0****</t>
  </si>
  <si>
    <t>401.060.0****</t>
  </si>
  <si>
    <t>401.070.0****</t>
  </si>
  <si>
    <t>Piston</t>
  </si>
  <si>
    <t>Tige</t>
  </si>
  <si>
    <t>Utile</t>
  </si>
  <si>
    <t>401.080.0****</t>
  </si>
  <si>
    <t>401.090.0****</t>
  </si>
  <si>
    <t>401.100.0****</t>
  </si>
  <si>
    <t>401.020.8+course</t>
  </si>
  <si>
    <t>401.030.8+course</t>
  </si>
  <si>
    <t>401.040.8+course</t>
  </si>
  <si>
    <t>401.045.8+course</t>
  </si>
  <si>
    <t>401.050.8+course</t>
  </si>
  <si>
    <t>401.055.8+course</t>
  </si>
  <si>
    <t>401.060.8+course</t>
  </si>
  <si>
    <t>401.070.8+course</t>
  </si>
  <si>
    <t>402.2032.8+course</t>
  </si>
  <si>
    <t>402.2540.8+course</t>
  </si>
  <si>
    <t>402.3050.8+course</t>
  </si>
  <si>
    <t>402.3060.8+course</t>
  </si>
  <si>
    <t>402.3560.8+course</t>
  </si>
  <si>
    <t>402.4060.8+course</t>
  </si>
  <si>
    <t>402.4070.8+course</t>
  </si>
  <si>
    <t>402.4570.8+course</t>
  </si>
  <si>
    <t>402.4080.8+course</t>
  </si>
  <si>
    <t>402.4580.8+course</t>
  </si>
  <si>
    <t>402.5080.8+course</t>
  </si>
  <si>
    <t>402.4590.8+course</t>
  </si>
  <si>
    <t>402.5090.8+course</t>
  </si>
  <si>
    <t>402.6090.8+course</t>
  </si>
  <si>
    <t>402.5010.8+course</t>
  </si>
  <si>
    <t>402.6010.8+course</t>
  </si>
  <si>
    <t>402.7010.8+course</t>
  </si>
  <si>
    <t>402.7012.8+course</t>
  </si>
  <si>
    <t>402.8012.8+course</t>
  </si>
  <si>
    <t>130x70</t>
  </si>
  <si>
    <t>140x70</t>
  </si>
  <si>
    <t>140x80</t>
  </si>
  <si>
    <t>125x80</t>
  </si>
  <si>
    <t>125x90</t>
  </si>
  <si>
    <t>401.080.8+course</t>
  </si>
  <si>
    <t>401.090.8+course</t>
  </si>
  <si>
    <t>401.100.8+course</t>
  </si>
  <si>
    <t>402.7013.8+course</t>
  </si>
  <si>
    <t>402.7014.8+course</t>
  </si>
  <si>
    <t>402.7015.8+course</t>
  </si>
  <si>
    <t>402.8016.8+course</t>
  </si>
  <si>
    <t>402.1018.8+course</t>
  </si>
  <si>
    <t>402.1220.8+course</t>
  </si>
  <si>
    <t>3/4'</t>
  </si>
  <si>
    <t>EA+D+Acces</t>
  </si>
  <si>
    <t>Accessoires</t>
  </si>
  <si>
    <t>cm²</t>
  </si>
  <si>
    <t>Volume huile</t>
  </si>
  <si>
    <t>litres</t>
  </si>
  <si>
    <t>Temps de sortie</t>
  </si>
  <si>
    <t>sec</t>
  </si>
  <si>
    <t xml:space="preserve">Pression </t>
  </si>
  <si>
    <t>bars</t>
  </si>
  <si>
    <t>m/sec</t>
  </si>
  <si>
    <t xml:space="preserve">Débit </t>
  </si>
  <si>
    <t>l/min</t>
  </si>
  <si>
    <t>force</t>
  </si>
  <si>
    <t>Section tige</t>
  </si>
  <si>
    <t>Vitesse</t>
  </si>
  <si>
    <t>50x25</t>
  </si>
  <si>
    <t>120x90</t>
  </si>
  <si>
    <t>120x80</t>
  </si>
  <si>
    <t>120x70</t>
  </si>
  <si>
    <t>110x90</t>
  </si>
  <si>
    <t>110x80</t>
  </si>
  <si>
    <t>110x70</t>
  </si>
  <si>
    <t>100x70</t>
  </si>
  <si>
    <t>100x60</t>
  </si>
  <si>
    <t>100x50</t>
  </si>
  <si>
    <t>90x70</t>
  </si>
  <si>
    <t>90x60</t>
  </si>
  <si>
    <t>90x50</t>
  </si>
  <si>
    <t>90x45</t>
  </si>
  <si>
    <t>90x40</t>
  </si>
  <si>
    <t>80x60</t>
  </si>
  <si>
    <t>80x55</t>
  </si>
  <si>
    <t>80x50</t>
  </si>
  <si>
    <t>80x45</t>
  </si>
  <si>
    <t>80x40</t>
  </si>
  <si>
    <t>80x35</t>
  </si>
  <si>
    <t>70x50</t>
  </si>
  <si>
    <t>70x45</t>
  </si>
  <si>
    <t>70x40</t>
  </si>
  <si>
    <t>70x35</t>
  </si>
  <si>
    <t>70x30</t>
  </si>
  <si>
    <t>63x45</t>
  </si>
  <si>
    <t>63x40</t>
  </si>
  <si>
    <t>63x36</t>
  </si>
  <si>
    <t>60x40</t>
  </si>
  <si>
    <t>60x35</t>
  </si>
  <si>
    <t>60x30</t>
  </si>
  <si>
    <t>60x25</t>
  </si>
  <si>
    <t>50x35</t>
  </si>
  <si>
    <t>50x30</t>
  </si>
  <si>
    <t>40x25</t>
  </si>
  <si>
    <t>40x20</t>
  </si>
  <si>
    <t>32x20</t>
  </si>
  <si>
    <t>32x16</t>
  </si>
  <si>
    <t>60x45</t>
  </si>
  <si>
    <t>70x55</t>
  </si>
  <si>
    <t>70x60</t>
  </si>
  <si>
    <t>90x35</t>
  </si>
  <si>
    <t>90x55</t>
  </si>
  <si>
    <t>100x40</t>
  </si>
  <si>
    <t>100x45</t>
  </si>
  <si>
    <t>100x55</t>
  </si>
  <si>
    <t>100x80</t>
  </si>
  <si>
    <t>110x40</t>
  </si>
  <si>
    <t>110x45</t>
  </si>
  <si>
    <t>110x50</t>
  </si>
  <si>
    <t>110x55</t>
  </si>
  <si>
    <t>110x60</t>
  </si>
  <si>
    <t>120x55</t>
  </si>
  <si>
    <t>120x60</t>
  </si>
  <si>
    <t>120x50</t>
  </si>
  <si>
    <t>125x50</t>
  </si>
  <si>
    <t>125x55</t>
  </si>
  <si>
    <t>125x60</t>
  </si>
  <si>
    <t>140x50</t>
  </si>
  <si>
    <t>140x55</t>
  </si>
  <si>
    <t>140x60</t>
  </si>
  <si>
    <t>140x110</t>
  </si>
  <si>
    <t>402.2550.8+course</t>
  </si>
  <si>
    <t>63x35</t>
  </si>
  <si>
    <t>Section piston</t>
  </si>
  <si>
    <t>Temps de rentrée</t>
  </si>
  <si>
    <t>Temps de cycle</t>
  </si>
  <si>
    <t>Section côté tige</t>
  </si>
  <si>
    <t>Pression</t>
  </si>
  <si>
    <t>Débit</t>
  </si>
  <si>
    <t>l/mn</t>
  </si>
  <si>
    <t>Bar</t>
  </si>
  <si>
    <t xml:space="preserve">Volume huile côté tige </t>
  </si>
  <si>
    <t>Vitesse sortie</t>
  </si>
  <si>
    <t>Vitesse rentrée</t>
  </si>
  <si>
    <t>50x40</t>
  </si>
  <si>
    <t>Vitesse de sortie</t>
  </si>
  <si>
    <t>L</t>
  </si>
  <si>
    <t>Force Théorique</t>
  </si>
  <si>
    <t>Vol. d'huile</t>
  </si>
  <si>
    <t>en Kg à 100 Bar</t>
  </si>
  <si>
    <t>litre</t>
  </si>
  <si>
    <t>ea-</t>
  </si>
  <si>
    <t>Sec</t>
  </si>
  <si>
    <t>402.1632.8+course</t>
  </si>
  <si>
    <t>402.70125.8+course</t>
  </si>
  <si>
    <t>150X70</t>
  </si>
  <si>
    <t>160X80</t>
  </si>
  <si>
    <t>180X100</t>
  </si>
  <si>
    <t>200X120</t>
  </si>
  <si>
    <t>402.8014.8+course</t>
  </si>
  <si>
    <t>402.9014.8+course</t>
  </si>
  <si>
    <t>402.1014.8+course</t>
  </si>
  <si>
    <t>402.1114.8+course</t>
  </si>
  <si>
    <t>402.5014.8+course</t>
  </si>
  <si>
    <t>402.5514.8+course</t>
  </si>
  <si>
    <t>402.6014.8+course</t>
  </si>
  <si>
    <t>402.80125.8+course</t>
  </si>
  <si>
    <t>402.90125.8+course</t>
  </si>
  <si>
    <t>402.50125.8+course</t>
  </si>
  <si>
    <t>402.55125.8+course</t>
  </si>
  <si>
    <t>402.60125.8+course</t>
  </si>
  <si>
    <t>402.9012.8+course</t>
  </si>
  <si>
    <t>402.5512.8+course</t>
  </si>
  <si>
    <t>402.6012.8+course</t>
  </si>
  <si>
    <t>402.5012.8+course</t>
  </si>
  <si>
    <t>402.8010.8+course</t>
  </si>
  <si>
    <t>402.5510.8+course</t>
  </si>
  <si>
    <t>402.4510.8+course</t>
  </si>
  <si>
    <t>402.4010.8+course</t>
  </si>
  <si>
    <t>402.5590.8+course</t>
  </si>
  <si>
    <t>402.7090.8+course</t>
  </si>
  <si>
    <t>402.4090.8+course</t>
  </si>
  <si>
    <t>402.3590.8+course</t>
  </si>
  <si>
    <t>402.5580.8+course</t>
  </si>
  <si>
    <t>402.6080.8+course</t>
  </si>
  <si>
    <t>402.3580.8+course</t>
  </si>
  <si>
    <t>402.3570.8+course</t>
  </si>
  <si>
    <t>402.5570.8+course</t>
  </si>
  <si>
    <t>402.6070.8+course</t>
  </si>
  <si>
    <t>402.4560.8+course</t>
  </si>
  <si>
    <t>402.3563.8+course</t>
  </si>
  <si>
    <t>402.3663.8+course</t>
  </si>
  <si>
    <t>402.4063.8+course</t>
  </si>
  <si>
    <t>402.8011.8+course</t>
  </si>
  <si>
    <t>402.7011.8+course</t>
  </si>
  <si>
    <t>402.6011.8+course</t>
  </si>
  <si>
    <t>402.5511.8+course</t>
  </si>
  <si>
    <t>402.5011.8+course</t>
  </si>
  <si>
    <t>402.4511.8+course</t>
  </si>
  <si>
    <t>402.4011.8+course</t>
  </si>
  <si>
    <t>402.2040.8+course</t>
  </si>
  <si>
    <t>402.4050.8+course</t>
  </si>
  <si>
    <t>401.016.0****</t>
  </si>
  <si>
    <t>401.016.8+course</t>
  </si>
  <si>
    <t>402.9015.8+course</t>
  </si>
  <si>
    <t>150X90</t>
  </si>
  <si>
    <t>402.1015.8+course</t>
  </si>
  <si>
    <t>402.1115.8+course</t>
  </si>
  <si>
    <t>150X100</t>
  </si>
  <si>
    <t>150X110</t>
  </si>
  <si>
    <t>402.1016.8+course</t>
  </si>
  <si>
    <t>160X100</t>
  </si>
  <si>
    <t>160X120</t>
  </si>
  <si>
    <t>402.1216.8+course</t>
  </si>
  <si>
    <t>402.1218.8+course</t>
  </si>
  <si>
    <t>402.1418.8+course</t>
  </si>
  <si>
    <t>180X120</t>
  </si>
  <si>
    <t>180X140</t>
  </si>
  <si>
    <t>402.1420.8+course</t>
  </si>
  <si>
    <t>200X140</t>
  </si>
  <si>
    <t>402.1122.8+course</t>
  </si>
  <si>
    <t>402.5070.8+course</t>
  </si>
  <si>
    <t>Températures de fonctionnement -20 à 90 °C Pression maxi 200 Bar</t>
  </si>
  <si>
    <t xml:space="preserve">Force </t>
  </si>
  <si>
    <t>Force en tirant</t>
  </si>
  <si>
    <t>402.3550.8+course</t>
  </si>
  <si>
    <t>402.2560.8+course</t>
  </si>
  <si>
    <t>SOCAH</t>
  </si>
  <si>
    <t>kg/m</t>
  </si>
  <si>
    <t>402.4563.8+course</t>
  </si>
  <si>
    <t>BASE TUBE GLACE,</t>
  </si>
  <si>
    <t>80x56</t>
  </si>
  <si>
    <t>402.5680.8+course</t>
  </si>
  <si>
    <t>Modif le 02/07/2013</t>
  </si>
  <si>
    <t>pesé</t>
  </si>
  <si>
    <t>Températures de fonctionnement -20 à 90°C Pression maxi 200 Bar</t>
  </si>
  <si>
    <t>Vous pouvez uniquement modifier les cellules en jaune.</t>
  </si>
  <si>
    <t>Envoyer ces infos à contact@luce-hydro.fr ou remplissez le formulaire en cliquant sur le bouton ci-dessus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</si>
</sst>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#,##0.0\ &quot;€&quot;"/>
    <numFmt numFmtId="167" formatCode="0.0%"/>
  </numFmts>
  <fonts count="2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PT Sans"/>
      <family val="2"/>
    </font>
    <font>
      <sz val="10"/>
      <name val="PT Sans"/>
      <family val="2"/>
    </font>
    <font>
      <sz val="14"/>
      <name val="PT Sans"/>
      <family val="2"/>
    </font>
    <font>
      <b/>
      <sz val="12"/>
      <name val="PT Sans"/>
      <family val="2"/>
    </font>
    <font>
      <sz val="16"/>
      <color rgb="FFFF0000"/>
      <name val="PT Sans"/>
      <family val="2"/>
    </font>
    <font>
      <sz val="14"/>
      <color rgb="FFFF0000"/>
      <name val="PT Sans"/>
      <family val="2"/>
    </font>
    <font>
      <b/>
      <sz val="14"/>
      <name val="PT Sans"/>
      <family val="2"/>
    </font>
    <font>
      <sz val="12"/>
      <color rgb="FFFF0000"/>
      <name val="PT Sans"/>
      <family val="2"/>
    </font>
    <font>
      <b/>
      <sz val="12"/>
      <color theme="0"/>
      <name val="PT Sans"/>
      <family val="2"/>
    </font>
    <font>
      <b/>
      <sz val="16"/>
      <color theme="0"/>
      <name val="PT Sans"/>
      <family val="2"/>
    </font>
    <font>
      <b/>
      <sz val="13"/>
      <color rgb="FFFF0000"/>
      <name val="PT Sans"/>
      <family val="2"/>
    </font>
    <font>
      <b/>
      <sz val="13"/>
      <name val="PT Sans"/>
      <family val="2"/>
    </font>
    <font>
      <b/>
      <sz val="13"/>
      <color theme="1"/>
      <name val="PT Sans"/>
      <family val="2"/>
    </font>
    <font>
      <sz val="13"/>
      <name val="Arial"/>
      <family val="2"/>
    </font>
    <font>
      <b/>
      <sz val="12"/>
      <color indexed="10"/>
      <name val="PT Sans"/>
      <family val="2"/>
    </font>
    <font>
      <b/>
      <sz val="12"/>
      <color indexed="12"/>
      <name val="PT Sans"/>
      <family val="2"/>
    </font>
    <font>
      <sz val="12"/>
      <color theme="1"/>
      <name val="PT Sans"/>
      <family val="2"/>
    </font>
    <font>
      <sz val="13"/>
      <name val="PT Sans"/>
      <family val="2"/>
    </font>
    <font>
      <sz val="11"/>
      <name val="PT Sans"/>
      <family val="2"/>
    </font>
    <font>
      <sz val="10"/>
      <color rgb="FFFF0000"/>
      <name val="PT Sans"/>
      <family val="2"/>
    </font>
    <font>
      <b/>
      <sz val="12"/>
      <color rgb="FFFF0000"/>
      <name val="PT Sans"/>
      <family val="2"/>
    </font>
    <font>
      <b/>
      <sz val="12"/>
      <color theme="1"/>
      <name val="PT Sans"/>
      <family val="2"/>
    </font>
    <font>
      <sz val="12"/>
      <color theme="0"/>
      <name val="PT Sans"/>
      <family val="2"/>
    </font>
    <font>
      <b/>
      <sz val="11"/>
      <name val="PT Sans"/>
      <family val="2"/>
    </font>
    <font>
      <b/>
      <sz val="10"/>
      <name val="PT Sans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294C8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D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0">
    <xf numFmtId="0" fontId="0" fillId="0" borderId="0" xfId="0"/>
    <xf numFmtId="0" fontId="3" fillId="5" borderId="0" xfId="0" applyFont="1" applyFill="1"/>
    <xf numFmtId="0" fontId="4" fillId="5" borderId="0" xfId="0" applyFont="1" applyFill="1"/>
    <xf numFmtId="164" fontId="4" fillId="5" borderId="0" xfId="0" applyNumberFormat="1" applyFont="1" applyFill="1"/>
    <xf numFmtId="1" fontId="3" fillId="5" borderId="0" xfId="0" applyNumberFormat="1" applyFont="1" applyFill="1" applyAlignment="1">
      <alignment horizontal="center"/>
    </xf>
    <xf numFmtId="0" fontId="5" fillId="5" borderId="0" xfId="0" applyFont="1" applyFill="1" applyProtection="1"/>
    <xf numFmtId="0" fontId="5" fillId="5" borderId="0" xfId="0" applyFont="1" applyFill="1"/>
    <xf numFmtId="0" fontId="6" fillId="5" borderId="22" xfId="0" applyFont="1" applyFill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left"/>
    </xf>
    <xf numFmtId="0" fontId="3" fillId="5" borderId="15" xfId="0" applyFont="1" applyFill="1" applyBorder="1"/>
    <xf numFmtId="0" fontId="3" fillId="5" borderId="15" xfId="0" applyFont="1" applyFill="1" applyBorder="1" applyAlignment="1">
      <alignment horizontal="center"/>
    </xf>
    <xf numFmtId="1" fontId="3" fillId="5" borderId="15" xfId="0" applyNumberFormat="1" applyFont="1" applyFill="1" applyBorder="1" applyAlignment="1">
      <alignment horizontal="center"/>
    </xf>
    <xf numFmtId="49" fontId="3" fillId="5" borderId="15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  <xf numFmtId="2" fontId="3" fillId="5" borderId="16" xfId="0" applyNumberFormat="1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23" xfId="0" applyFont="1" applyFill="1" applyBorder="1"/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2" fontId="3" fillId="5" borderId="17" xfId="0" applyNumberFormat="1" applyFont="1" applyFill="1" applyBorder="1" applyAlignment="1">
      <alignment horizontal="center"/>
    </xf>
    <xf numFmtId="2" fontId="5" fillId="5" borderId="0" xfId="0" applyNumberFormat="1" applyFont="1" applyFill="1" applyAlignment="1" applyProtection="1">
      <alignment horizontal="right"/>
    </xf>
    <xf numFmtId="164" fontId="3" fillId="5" borderId="1" xfId="0" applyNumberFormat="1" applyFont="1" applyFill="1" applyBorder="1" applyAlignment="1">
      <alignment horizontal="center"/>
    </xf>
    <xf numFmtId="164" fontId="5" fillId="5" borderId="0" xfId="0" applyNumberFormat="1" applyFont="1" applyFill="1" applyAlignment="1" applyProtection="1">
      <alignment horizontal="right"/>
    </xf>
    <xf numFmtId="0" fontId="5" fillId="5" borderId="0" xfId="0" applyFont="1" applyFill="1" applyAlignment="1" applyProtection="1"/>
    <xf numFmtId="0" fontId="8" fillId="5" borderId="0" xfId="0" applyFont="1" applyFill="1" applyAlignment="1" applyProtection="1"/>
    <xf numFmtId="0" fontId="6" fillId="5" borderId="24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2" fontId="3" fillId="5" borderId="18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9" fillId="5" borderId="0" xfId="0" applyFont="1" applyFill="1" applyBorder="1" applyAlignment="1" applyProtection="1">
      <alignment vertical="center"/>
    </xf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5" borderId="0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0" fillId="5" borderId="0" xfId="0" applyFont="1" applyFill="1" applyBorder="1"/>
    <xf numFmtId="0" fontId="5" fillId="5" borderId="0" xfId="0" applyFont="1" applyFill="1" applyBorder="1"/>
    <xf numFmtId="0" fontId="4" fillId="2" borderId="38" xfId="0" applyFont="1" applyFill="1" applyBorder="1"/>
    <xf numFmtId="0" fontId="10" fillId="5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/>
    <xf numFmtId="0" fontId="14" fillId="11" borderId="40" xfId="0" applyFont="1" applyFill="1" applyBorder="1" applyAlignment="1" applyProtection="1">
      <alignment vertical="center"/>
    </xf>
    <xf numFmtId="0" fontId="14" fillId="11" borderId="41" xfId="0" applyFont="1" applyFill="1" applyBorder="1" applyAlignment="1" applyProtection="1">
      <alignment vertical="center"/>
    </xf>
    <xf numFmtId="0" fontId="14" fillId="11" borderId="40" xfId="0" applyFont="1" applyFill="1" applyBorder="1" applyAlignment="1">
      <alignment vertical="center"/>
    </xf>
    <xf numFmtId="2" fontId="14" fillId="11" borderId="40" xfId="0" applyNumberFormat="1" applyFont="1" applyFill="1" applyBorder="1" applyAlignment="1" applyProtection="1">
      <alignment horizontal="right" vertical="center"/>
    </xf>
    <xf numFmtId="0" fontId="14" fillId="11" borderId="41" xfId="0" applyFont="1" applyFill="1" applyBorder="1" applyAlignment="1" applyProtection="1">
      <alignment horizontal="left" vertical="center"/>
    </xf>
    <xf numFmtId="2" fontId="14" fillId="11" borderId="39" xfId="0" applyNumberFormat="1" applyFont="1" applyFill="1" applyBorder="1" applyAlignment="1">
      <alignment vertical="center"/>
    </xf>
    <xf numFmtId="0" fontId="4" fillId="0" borderId="0" xfId="0" applyFont="1" applyFill="1"/>
    <xf numFmtId="1" fontId="4" fillId="2" borderId="0" xfId="0" applyNumberFormat="1" applyFont="1" applyFill="1"/>
    <xf numFmtId="2" fontId="4" fillId="2" borderId="0" xfId="0" applyNumberFormat="1" applyFont="1" applyFill="1"/>
    <xf numFmtId="0" fontId="6" fillId="8" borderId="3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horizontal="center"/>
    </xf>
    <xf numFmtId="164" fontId="6" fillId="8" borderId="21" xfId="0" applyNumberFormat="1" applyFont="1" applyFill="1" applyBorder="1" applyAlignment="1">
      <alignment horizontal="center"/>
    </xf>
    <xf numFmtId="0" fontId="4" fillId="8" borderId="3" xfId="0" applyFont="1" applyFill="1" applyBorder="1"/>
    <xf numFmtId="0" fontId="6" fillId="8" borderId="19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7" fillId="0" borderId="22" xfId="0" applyFont="1" applyFill="1" applyBorder="1"/>
    <xf numFmtId="0" fontId="6" fillId="3" borderId="1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49" fontId="18" fillId="2" borderId="15" xfId="0" applyNumberFormat="1" applyFont="1" applyFill="1" applyBorder="1" applyAlignment="1">
      <alignment horizontal="center"/>
    </xf>
    <xf numFmtId="1" fontId="18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17" fillId="0" borderId="23" xfId="0" applyFont="1" applyFill="1" applyBorder="1"/>
    <xf numFmtId="0" fontId="6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7" fillId="0" borderId="24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5" fillId="6" borderId="0" xfId="0" applyFont="1" applyFill="1" applyBorder="1" applyAlignment="1" applyProtection="1"/>
    <xf numFmtId="2" fontId="5" fillId="6" borderId="27" xfId="0" applyNumberFormat="1" applyFont="1" applyFill="1" applyBorder="1" applyAlignment="1" applyProtection="1">
      <alignment horizontal="right"/>
    </xf>
    <xf numFmtId="0" fontId="5" fillId="6" borderId="28" xfId="0" applyFont="1" applyFill="1" applyBorder="1" applyProtection="1"/>
    <xf numFmtId="0" fontId="4" fillId="6" borderId="0" xfId="0" applyFont="1" applyFill="1"/>
    <xf numFmtId="0" fontId="19" fillId="5" borderId="0" xfId="0" applyFont="1" applyFill="1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21" fillId="5" borderId="0" xfId="0" applyFont="1" applyFill="1" applyBorder="1"/>
    <xf numFmtId="0" fontId="9" fillId="5" borderId="0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14" fillId="11" borderId="43" xfId="0" applyFont="1" applyFill="1" applyBorder="1" applyAlignment="1" applyProtection="1">
      <alignment vertical="center"/>
    </xf>
    <xf numFmtId="2" fontId="14" fillId="11" borderId="42" xfId="0" applyNumberFormat="1" applyFont="1" applyFill="1" applyBorder="1" applyAlignment="1">
      <alignment vertical="center"/>
    </xf>
    <xf numFmtId="0" fontId="14" fillId="11" borderId="43" xfId="0" applyFont="1" applyFill="1" applyBorder="1" applyAlignment="1">
      <alignment vertical="center"/>
    </xf>
    <xf numFmtId="2" fontId="14" fillId="11" borderId="44" xfId="0" applyNumberFormat="1" applyFont="1" applyFill="1" applyBorder="1" applyAlignment="1">
      <alignment vertical="center"/>
    </xf>
    <xf numFmtId="0" fontId="14" fillId="11" borderId="45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7" fontId="10" fillId="5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167" fontId="19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1" fillId="5" borderId="0" xfId="0" applyFont="1" applyFill="1" applyBorder="1" applyAlignment="1">
      <alignment vertical="center"/>
    </xf>
    <xf numFmtId="0" fontId="26" fillId="8" borderId="28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49" fontId="26" fillId="8" borderId="1" xfId="0" applyNumberFormat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49" fontId="26" fillId="5" borderId="1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right" vertical="center"/>
    </xf>
    <xf numFmtId="0" fontId="26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5" fontId="9" fillId="5" borderId="0" xfId="0" applyNumberFormat="1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horizontal="right" vertical="center"/>
    </xf>
    <xf numFmtId="2" fontId="9" fillId="5" borderId="0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2" fontId="6" fillId="5" borderId="0" xfId="0" applyNumberFormat="1" applyFont="1" applyFill="1" applyBorder="1" applyAlignment="1">
      <alignment vertical="center"/>
    </xf>
    <xf numFmtId="49" fontId="27" fillId="5" borderId="0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vertical="center"/>
    </xf>
    <xf numFmtId="166" fontId="9" fillId="5" borderId="0" xfId="0" applyNumberFormat="1" applyFont="1" applyFill="1" applyBorder="1" applyAlignment="1">
      <alignment vertical="center"/>
    </xf>
    <xf numFmtId="2" fontId="9" fillId="5" borderId="0" xfId="0" applyNumberFormat="1" applyFont="1" applyFill="1" applyBorder="1" applyAlignment="1">
      <alignment vertical="center"/>
    </xf>
    <xf numFmtId="0" fontId="5" fillId="5" borderId="0" xfId="0" applyFont="1" applyFill="1" applyAlignment="1" applyProtection="1">
      <alignment vertical="center"/>
    </xf>
    <xf numFmtId="2" fontId="5" fillId="5" borderId="0" xfId="0" applyNumberFormat="1" applyFont="1" applyFill="1" applyAlignment="1" applyProtection="1">
      <alignment horizontal="right" vertical="center"/>
    </xf>
    <xf numFmtId="0" fontId="5" fillId="6" borderId="0" xfId="0" applyFont="1" applyFill="1" applyAlignment="1" applyProtection="1">
      <alignment vertical="center"/>
    </xf>
    <xf numFmtId="2" fontId="5" fillId="6" borderId="0" xfId="0" applyNumberFormat="1" applyFont="1" applyFill="1" applyAlignment="1" applyProtection="1">
      <alignment horizontal="right" vertical="center"/>
    </xf>
    <xf numFmtId="0" fontId="5" fillId="7" borderId="0" xfId="0" applyFont="1" applyFill="1" applyAlignment="1" applyProtection="1">
      <alignment vertical="center"/>
    </xf>
    <xf numFmtId="2" fontId="5" fillId="7" borderId="0" xfId="0" applyNumberFormat="1" applyFont="1" applyFill="1" applyAlignment="1" applyProtection="1">
      <alignment horizontal="right" vertical="center"/>
    </xf>
    <xf numFmtId="2" fontId="5" fillId="5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1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49" fontId="26" fillId="4" borderId="6" xfId="0" applyNumberFormat="1" applyFont="1" applyFill="1" applyBorder="1" applyAlignment="1">
      <alignment horizontal="center" vertical="center"/>
    </xf>
    <xf numFmtId="49" fontId="26" fillId="4" borderId="8" xfId="0" applyNumberFormat="1" applyFont="1" applyFill="1" applyBorder="1" applyAlignment="1">
      <alignment horizontal="center" vertical="center"/>
    </xf>
    <xf numFmtId="49" fontId="26" fillId="4" borderId="7" xfId="0" applyNumberFormat="1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6" fillId="4" borderId="9" xfId="0" applyFont="1" applyFill="1" applyBorder="1" applyAlignment="1">
      <alignment horizontal="center" vertical="center"/>
    </xf>
    <xf numFmtId="49" fontId="26" fillId="4" borderId="21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26" fillId="5" borderId="34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49" fontId="26" fillId="5" borderId="15" xfId="0" applyNumberFormat="1" applyFont="1" applyFill="1" applyBorder="1" applyAlignment="1">
      <alignment horizontal="center" vertical="center"/>
    </xf>
    <xf numFmtId="0" fontId="26" fillId="5" borderId="15" xfId="0" applyNumberFormat="1" applyFont="1" applyFill="1" applyBorder="1" applyAlignment="1">
      <alignment horizontal="center" vertical="center"/>
    </xf>
    <xf numFmtId="0" fontId="26" fillId="5" borderId="32" xfId="0" applyNumberFormat="1" applyFont="1" applyFill="1" applyBorder="1" applyAlignment="1">
      <alignment horizontal="center" vertical="center"/>
    </xf>
    <xf numFmtId="2" fontId="26" fillId="5" borderId="15" xfId="0" applyNumberFormat="1" applyFont="1" applyFill="1" applyBorder="1" applyAlignment="1">
      <alignment horizontal="center" vertical="center"/>
    </xf>
    <xf numFmtId="164" fontId="6" fillId="5" borderId="34" xfId="0" applyNumberFormat="1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6" fillId="5" borderId="16" xfId="0" applyNumberFormat="1" applyFont="1" applyFill="1" applyBorder="1" applyAlignment="1">
      <alignment horizontal="center" vertical="center"/>
    </xf>
    <xf numFmtId="2" fontId="26" fillId="5" borderId="0" xfId="0" applyNumberFormat="1" applyFont="1" applyFill="1" applyAlignment="1">
      <alignment vertical="center"/>
    </xf>
    <xf numFmtId="0" fontId="26" fillId="5" borderId="28" xfId="0" applyFont="1" applyFill="1" applyBorder="1" applyAlignment="1">
      <alignment vertical="center"/>
    </xf>
    <xf numFmtId="0" fontId="26" fillId="5" borderId="1" xfId="0" applyNumberFormat="1" applyFont="1" applyFill="1" applyBorder="1" applyAlignment="1">
      <alignment horizontal="center" vertical="center"/>
    </xf>
    <xf numFmtId="0" fontId="26" fillId="5" borderId="26" xfId="0" applyNumberFormat="1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horizontal="center" vertical="center"/>
    </xf>
    <xf numFmtId="2" fontId="6" fillId="5" borderId="17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 applyAlignment="1">
      <alignment horizontal="center" vertical="center"/>
    </xf>
    <xf numFmtId="0" fontId="6" fillId="5" borderId="28" xfId="0" applyFont="1" applyFill="1" applyBorder="1" applyAlignment="1">
      <alignment vertical="center"/>
    </xf>
    <xf numFmtId="0" fontId="6" fillId="5" borderId="26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left" vertical="center"/>
    </xf>
    <xf numFmtId="0" fontId="26" fillId="5" borderId="23" xfId="0" applyFont="1" applyFill="1" applyBorder="1" applyAlignment="1">
      <alignment vertical="center"/>
    </xf>
    <xf numFmtId="49" fontId="27" fillId="5" borderId="0" xfId="0" applyNumberFormat="1" applyFont="1" applyFill="1" applyAlignment="1">
      <alignment horizontal="center" vertical="center"/>
    </xf>
    <xf numFmtId="0" fontId="26" fillId="5" borderId="24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49" fontId="26" fillId="5" borderId="2" xfId="0" applyNumberFormat="1" applyFont="1" applyFill="1" applyBorder="1" applyAlignment="1">
      <alignment horizontal="center" vertical="center"/>
    </xf>
    <xf numFmtId="0" fontId="26" fillId="5" borderId="2" xfId="0" applyNumberFormat="1" applyFont="1" applyFill="1" applyBorder="1" applyAlignment="1">
      <alignment horizontal="center" vertical="center"/>
    </xf>
    <xf numFmtId="0" fontId="26" fillId="5" borderId="33" xfId="0" applyNumberFormat="1" applyFont="1" applyFill="1" applyBorder="1" applyAlignment="1">
      <alignment horizontal="center" vertical="center"/>
    </xf>
    <xf numFmtId="2" fontId="26" fillId="5" borderId="2" xfId="0" applyNumberFormat="1" applyFont="1" applyFill="1" applyBorder="1" applyAlignment="1">
      <alignment horizontal="center" vertical="center"/>
    </xf>
    <xf numFmtId="164" fontId="6" fillId="5" borderId="35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2" fontId="5" fillId="5" borderId="0" xfId="0" applyNumberFormat="1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2" fontId="5" fillId="6" borderId="0" xfId="0" applyNumberFormat="1" applyFont="1" applyFill="1" applyAlignment="1" applyProtection="1">
      <alignment horizontal="center" vertical="center"/>
    </xf>
    <xf numFmtId="2" fontId="5" fillId="7" borderId="0" xfId="0" applyNumberFormat="1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2" fontId="14" fillId="11" borderId="42" xfId="0" applyNumberFormat="1" applyFont="1" applyFill="1" applyBorder="1" applyAlignment="1" applyProtection="1">
      <alignment horizontal="right" vertical="center"/>
    </xf>
    <xf numFmtId="0" fontId="13" fillId="12" borderId="39" xfId="0" applyFont="1" applyFill="1" applyBorder="1" applyAlignment="1" applyProtection="1">
      <alignment horizontal="right" vertical="center"/>
      <protection locked="0"/>
    </xf>
    <xf numFmtId="0" fontId="14" fillId="12" borderId="39" xfId="0" applyFont="1" applyFill="1" applyBorder="1" applyAlignment="1" applyProtection="1">
      <alignment horizontal="right" vertical="center"/>
      <protection locked="0"/>
    </xf>
    <xf numFmtId="0" fontId="15" fillId="12" borderId="39" xfId="0" applyFont="1" applyFill="1" applyBorder="1" applyAlignment="1" applyProtection="1">
      <alignment horizontal="right" vertical="center"/>
      <protection locked="0"/>
    </xf>
    <xf numFmtId="0" fontId="14" fillId="12" borderId="42" xfId="0" applyFont="1" applyFill="1" applyBorder="1" applyAlignment="1" applyProtection="1">
      <alignment horizontal="right" vertical="center"/>
      <protection locked="0"/>
    </xf>
    <xf numFmtId="0" fontId="13" fillId="12" borderId="42" xfId="0" applyFont="1" applyFill="1" applyBorder="1" applyAlignment="1" applyProtection="1">
      <alignment horizontal="right" vertical="center"/>
      <protection locked="0"/>
    </xf>
    <xf numFmtId="0" fontId="12" fillId="10" borderId="0" xfId="0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horizontal="right" vertical="center"/>
    </xf>
    <xf numFmtId="0" fontId="16" fillId="11" borderId="40" xfId="0" applyFont="1" applyFill="1" applyBorder="1"/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9" borderId="31" xfId="0" applyFont="1" applyFill="1" applyBorder="1" applyAlignment="1" applyProtection="1">
      <alignment horizontal="center"/>
    </xf>
    <xf numFmtId="0" fontId="5" fillId="9" borderId="0" xfId="0" applyFont="1" applyFill="1" applyBorder="1" applyAlignment="1" applyProtection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2" fontId="5" fillId="9" borderId="0" xfId="0" applyNumberFormat="1" applyFont="1" applyFill="1" applyBorder="1" applyAlignment="1" applyProtection="1">
      <alignment horizontal="center"/>
    </xf>
    <xf numFmtId="2" fontId="5" fillId="9" borderId="0" xfId="0" applyNumberFormat="1" applyFont="1" applyFill="1" applyBorder="1" applyAlignment="1">
      <alignment horizontal="center"/>
    </xf>
    <xf numFmtId="0" fontId="14" fillId="11" borderId="39" xfId="0" applyFont="1" applyFill="1" applyBorder="1" applyAlignment="1" applyProtection="1">
      <alignment horizontal="right" vertical="center"/>
    </xf>
    <xf numFmtId="0" fontId="16" fillId="11" borderId="41" xfId="0" applyFont="1" applyFill="1" applyBorder="1"/>
    <xf numFmtId="0" fontId="12" fillId="10" borderId="0" xfId="0" applyFont="1" applyFill="1" applyBorder="1" applyAlignment="1" applyProtection="1">
      <alignment horizontal="center" vertical="center"/>
    </xf>
    <xf numFmtId="0" fontId="12" fillId="10" borderId="38" xfId="0" applyFont="1" applyFill="1" applyBorder="1" applyAlignment="1" applyProtection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2" fillId="10" borderId="44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12" fillId="10" borderId="45" xfId="0" applyFont="1" applyFill="1" applyBorder="1" applyAlignment="1">
      <alignment horizontal="center" vertical="center"/>
    </xf>
    <xf numFmtId="0" fontId="14" fillId="11" borderId="44" xfId="0" applyFont="1" applyFill="1" applyBorder="1" applyAlignment="1">
      <alignment horizontal="right" vertical="center"/>
    </xf>
    <xf numFmtId="0" fontId="20" fillId="11" borderId="45" xfId="0" applyFont="1" applyFill="1" applyBorder="1" applyAlignment="1">
      <alignment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2" fillId="10" borderId="46" xfId="0" applyFont="1" applyFill="1" applyBorder="1" applyAlignment="1" applyProtection="1">
      <alignment horizontal="center" vertical="center"/>
    </xf>
    <xf numFmtId="0" fontId="12" fillId="10" borderId="47" xfId="0" applyFont="1" applyFill="1" applyBorder="1" applyAlignment="1" applyProtection="1">
      <alignment horizontal="center" vertical="center"/>
    </xf>
    <xf numFmtId="0" fontId="12" fillId="10" borderId="42" xfId="0" applyFont="1" applyFill="1" applyBorder="1" applyAlignment="1" applyProtection="1">
      <alignment horizontal="center" vertical="center"/>
    </xf>
    <xf numFmtId="0" fontId="12" fillId="10" borderId="4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right" vertical="center"/>
    </xf>
    <xf numFmtId="0" fontId="20" fillId="11" borderId="43" xfId="0" applyFont="1" applyFill="1" applyBorder="1" applyAlignment="1">
      <alignment vertical="center"/>
    </xf>
    <xf numFmtId="0" fontId="23" fillId="12" borderId="42" xfId="0" applyFont="1" applyFill="1" applyBorder="1" applyAlignment="1" applyProtection="1">
      <alignment horizontal="center" vertical="center"/>
      <protection locked="0"/>
    </xf>
    <xf numFmtId="0" fontId="23" fillId="12" borderId="43" xfId="0" applyFont="1" applyFill="1" applyBorder="1" applyAlignment="1" applyProtection="1">
      <alignment horizontal="center" vertical="center"/>
      <protection locked="0"/>
    </xf>
    <xf numFmtId="0" fontId="12" fillId="10" borderId="3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37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F4D000"/>
      <color rgb="FF294C8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hyperlink" Target="https://www.luce-hydro.fr/contac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uce-hydro.fr/contact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uce-hydro.fr/contact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7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uce-hydro.fr/contact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441951</xdr:colOff>
      <xdr:row>19</xdr:row>
      <xdr:rowOff>11437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1"/>
        <a:srcRect l="5128" t="3787" r="2198" b="6174"/>
        <a:stretch>
          <a:fillRect/>
        </a:stretch>
      </xdr:blipFill>
      <xdr:spPr>
        <a:xfrm>
          <a:off x="0" y="0"/>
          <a:ext cx="10193170" cy="40714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13</xdr:col>
      <xdr:colOff>550068</xdr:colOff>
      <xdr:row>3</xdr:row>
      <xdr:rowOff>111918</xdr:rowOff>
    </xdr:from>
    <xdr:to>
      <xdr:col>15</xdr:col>
      <xdr:colOff>59531</xdr:colOff>
      <xdr:row>4</xdr:row>
      <xdr:rowOff>178593</xdr:rowOff>
    </xdr:to>
    <xdr:sp macro="" textlink="$AE$1">
      <xdr:nvSpPr>
        <xdr:cNvPr id="7" name="ZoneTexte 6"/>
        <xdr:cNvSpPr txBox="1"/>
      </xdr:nvSpPr>
      <xdr:spPr>
        <a:xfrm>
          <a:off x="9039224" y="683418"/>
          <a:ext cx="77152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D64607B-7370-4558-8089-38CA92AC51CD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25,4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3333</xdr:colOff>
      <xdr:row>2</xdr:row>
      <xdr:rowOff>4764</xdr:rowOff>
    </xdr:from>
    <xdr:to>
      <xdr:col>5</xdr:col>
      <xdr:colOff>474464</xdr:colOff>
      <xdr:row>3</xdr:row>
      <xdr:rowOff>90489</xdr:rowOff>
    </xdr:to>
    <xdr:sp macro="" textlink="$AF$1">
      <xdr:nvSpPr>
        <xdr:cNvPr id="8" name="ZoneTexte 7"/>
        <xdr:cNvSpPr txBox="1"/>
      </xdr:nvSpPr>
      <xdr:spPr>
        <a:xfrm>
          <a:off x="3158489" y="385764"/>
          <a:ext cx="4711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0D4C7F6-6E0D-44C2-B0AF-71C3F5921359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3/8'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14</xdr:col>
      <xdr:colOff>177164</xdr:colOff>
      <xdr:row>8</xdr:row>
      <xdr:rowOff>80963</xdr:rowOff>
    </xdr:from>
    <xdr:to>
      <xdr:col>14</xdr:col>
      <xdr:colOff>431521</xdr:colOff>
      <xdr:row>11</xdr:row>
      <xdr:rowOff>33338</xdr:rowOff>
    </xdr:to>
    <xdr:sp macro="" textlink="$AD$1">
      <xdr:nvSpPr>
        <xdr:cNvPr id="9" name="ZoneTexte 8"/>
        <xdr:cNvSpPr txBox="1"/>
      </xdr:nvSpPr>
      <xdr:spPr>
        <a:xfrm rot="16200000">
          <a:off x="9162593" y="1739722"/>
          <a:ext cx="523875" cy="254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4894959-BF08-4B4C-ACFC-7592A5614C25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47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64774</xdr:colOff>
      <xdr:row>8</xdr:row>
      <xdr:rowOff>76200</xdr:rowOff>
    </xdr:from>
    <xdr:to>
      <xdr:col>11</xdr:col>
      <xdr:colOff>293885</xdr:colOff>
      <xdr:row>11</xdr:row>
      <xdr:rowOff>47625</xdr:rowOff>
    </xdr:to>
    <xdr:sp macro="" textlink="$A$23">
      <xdr:nvSpPr>
        <xdr:cNvPr id="10" name="ZoneTexte 9"/>
        <xdr:cNvSpPr txBox="1"/>
      </xdr:nvSpPr>
      <xdr:spPr>
        <a:xfrm rot="16200000">
          <a:off x="6819445" y="1441592"/>
          <a:ext cx="542925" cy="860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2004319D-50D8-4D44-B98E-67B76A03961B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12</xdr:col>
      <xdr:colOff>254794</xdr:colOff>
      <xdr:row>18</xdr:row>
      <xdr:rowOff>4763</xdr:rowOff>
    </xdr:from>
    <xdr:to>
      <xdr:col>13</xdr:col>
      <xdr:colOff>107156</xdr:colOff>
      <xdr:row>18</xdr:row>
      <xdr:rowOff>319088</xdr:rowOff>
    </xdr:to>
    <xdr:sp macro="" textlink="$AA$1">
      <xdr:nvSpPr>
        <xdr:cNvPr id="12" name="ZoneTexte 11"/>
        <xdr:cNvSpPr txBox="1"/>
      </xdr:nvSpPr>
      <xdr:spPr>
        <a:xfrm>
          <a:off x="8112919" y="3433763"/>
          <a:ext cx="483393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499A2851-E223-47C5-AB45-884A468BFEEE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75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11</xdr:col>
      <xdr:colOff>584359</xdr:colOff>
      <xdr:row>15</xdr:row>
      <xdr:rowOff>78581</xdr:rowOff>
    </xdr:from>
    <xdr:to>
      <xdr:col>13</xdr:col>
      <xdr:colOff>104812</xdr:colOff>
      <xdr:row>16</xdr:row>
      <xdr:rowOff>135731</xdr:rowOff>
    </xdr:to>
    <xdr:sp macro="" textlink="$AC$1">
      <xdr:nvSpPr>
        <xdr:cNvPr id="14" name="ZoneTexte 13"/>
        <xdr:cNvSpPr txBox="1"/>
      </xdr:nvSpPr>
      <xdr:spPr>
        <a:xfrm>
          <a:off x="7811453" y="2936081"/>
          <a:ext cx="78251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0F2EDA1-CAD4-425F-9335-7A940A7DF14C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157163</xdr:colOff>
      <xdr:row>15</xdr:row>
      <xdr:rowOff>78580</xdr:rowOff>
    </xdr:from>
    <xdr:to>
      <xdr:col>14</xdr:col>
      <xdr:colOff>35718</xdr:colOff>
      <xdr:row>17</xdr:row>
      <xdr:rowOff>23813</xdr:rowOff>
    </xdr:to>
    <xdr:sp macro="" textlink="$AB$1">
      <xdr:nvSpPr>
        <xdr:cNvPr id="15" name="ZoneTexte 14"/>
        <xdr:cNvSpPr txBox="1"/>
      </xdr:nvSpPr>
      <xdr:spPr>
        <a:xfrm>
          <a:off x="8646319" y="2936080"/>
          <a:ext cx="509587" cy="326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17308FC-2B64-4DC5-A13C-BF6547403AD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240506</xdr:colOff>
      <xdr:row>17</xdr:row>
      <xdr:rowOff>9525</xdr:rowOff>
    </xdr:from>
    <xdr:to>
      <xdr:col>4</xdr:col>
      <xdr:colOff>243324</xdr:colOff>
      <xdr:row>18</xdr:row>
      <xdr:rowOff>95250</xdr:rowOff>
    </xdr:to>
    <xdr:sp macro="" textlink="$AE$1">
      <xdr:nvSpPr>
        <xdr:cNvPr id="16" name="ZoneTexte 15"/>
        <xdr:cNvSpPr txBox="1"/>
      </xdr:nvSpPr>
      <xdr:spPr>
        <a:xfrm>
          <a:off x="2133600" y="3248025"/>
          <a:ext cx="6338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F859C14-2100-471E-B3B0-67541B94C548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25,4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57150</xdr:colOff>
      <xdr:row>7</xdr:row>
      <xdr:rowOff>123824</xdr:rowOff>
    </xdr:from>
    <xdr:to>
      <xdr:col>0</xdr:col>
      <xdr:colOff>303080</xdr:colOff>
      <xdr:row>10</xdr:row>
      <xdr:rowOff>180975</xdr:rowOff>
    </xdr:to>
    <xdr:sp macro="" textlink="$X$1">
      <xdr:nvSpPr>
        <xdr:cNvPr id="17" name="ZoneTexte 16"/>
        <xdr:cNvSpPr txBox="1"/>
      </xdr:nvSpPr>
      <xdr:spPr>
        <a:xfrm rot="16200000">
          <a:off x="-133351" y="1647825"/>
          <a:ext cx="62865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DE070F4-9876-4446-88B1-17D07A8341F8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70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266700</xdr:colOff>
      <xdr:row>0</xdr:row>
      <xdr:rowOff>66675</xdr:rowOff>
    </xdr:from>
    <xdr:to>
      <xdr:col>2</xdr:col>
      <xdr:colOff>60710</xdr:colOff>
      <xdr:row>1</xdr:row>
      <xdr:rowOff>104775</xdr:rowOff>
    </xdr:to>
    <xdr:sp macro="" textlink="$Z$1">
      <xdr:nvSpPr>
        <xdr:cNvPr id="19" name="ZoneTexte 18"/>
        <xdr:cNvSpPr txBox="1"/>
      </xdr:nvSpPr>
      <xdr:spPr>
        <a:xfrm>
          <a:off x="897731" y="66675"/>
          <a:ext cx="42504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2F393FA-9BE2-4433-93FC-D6109ADCAB5C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574833</xdr:colOff>
      <xdr:row>0</xdr:row>
      <xdr:rowOff>21431</xdr:rowOff>
    </xdr:from>
    <xdr:to>
      <xdr:col>8</xdr:col>
      <xdr:colOff>579629</xdr:colOff>
      <xdr:row>1</xdr:row>
      <xdr:rowOff>59531</xdr:rowOff>
    </xdr:to>
    <xdr:sp macro="" textlink="$W$1">
      <xdr:nvSpPr>
        <xdr:cNvPr id="20" name="ZoneTexte 19"/>
        <xdr:cNvSpPr txBox="1"/>
      </xdr:nvSpPr>
      <xdr:spPr>
        <a:xfrm>
          <a:off x="4992052" y="21431"/>
          <a:ext cx="70726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AD6A882-DD62-4E66-B3C5-07E484668386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310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102871</xdr:colOff>
      <xdr:row>2</xdr:row>
      <xdr:rowOff>104775</xdr:rowOff>
    </xdr:from>
    <xdr:to>
      <xdr:col>10</xdr:col>
      <xdr:colOff>612458</xdr:colOff>
      <xdr:row>3</xdr:row>
      <xdr:rowOff>163886</xdr:rowOff>
    </xdr:to>
    <xdr:sp macro="" textlink="$AH$1">
      <xdr:nvSpPr>
        <xdr:cNvPr id="21" name="ZoneTexte 20"/>
        <xdr:cNvSpPr txBox="1"/>
      </xdr:nvSpPr>
      <xdr:spPr>
        <a:xfrm>
          <a:off x="6698934" y="485775"/>
          <a:ext cx="509587" cy="249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5790F35-D51A-4F34-A29E-6EB854177D17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176688</xdr:colOff>
      <xdr:row>9</xdr:row>
      <xdr:rowOff>28575</xdr:rowOff>
    </xdr:from>
    <xdr:to>
      <xdr:col>7</xdr:col>
      <xdr:colOff>100531</xdr:colOff>
      <xdr:row>10</xdr:row>
      <xdr:rowOff>123825</xdr:rowOff>
    </xdr:to>
    <xdr:sp macro="" textlink="">
      <xdr:nvSpPr>
        <xdr:cNvPr id="22" name="ZoneTexte 21"/>
        <xdr:cNvSpPr txBox="1"/>
      </xdr:nvSpPr>
      <xdr:spPr>
        <a:xfrm>
          <a:off x="3962876" y="1743075"/>
          <a:ext cx="55487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4</xdr:col>
      <xdr:colOff>503873</xdr:colOff>
      <xdr:row>9</xdr:row>
      <xdr:rowOff>21430</xdr:rowOff>
    </xdr:from>
    <xdr:to>
      <xdr:col>6</xdr:col>
      <xdr:colOff>43015</xdr:colOff>
      <xdr:row>10</xdr:row>
      <xdr:rowOff>126206</xdr:rowOff>
    </xdr:to>
    <xdr:sp macro="" textlink="">
      <xdr:nvSpPr>
        <xdr:cNvPr id="23" name="ZoneTexte 22"/>
        <xdr:cNvSpPr txBox="1"/>
      </xdr:nvSpPr>
      <xdr:spPr>
        <a:xfrm>
          <a:off x="3027998" y="1735930"/>
          <a:ext cx="80120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</a:p>
      </xdr:txBody>
    </xdr:sp>
    <xdr:clientData/>
  </xdr:twoCellAnchor>
  <xdr:twoCellAnchor>
    <xdr:from>
      <xdr:col>8</xdr:col>
      <xdr:colOff>189072</xdr:colOff>
      <xdr:row>21</xdr:row>
      <xdr:rowOff>23812</xdr:rowOff>
    </xdr:from>
    <xdr:to>
      <xdr:col>9</xdr:col>
      <xdr:colOff>226219</xdr:colOff>
      <xdr:row>24</xdr:row>
      <xdr:rowOff>30956</xdr:rowOff>
    </xdr:to>
    <xdr:sp macro="" textlink="">
      <xdr:nvSpPr>
        <xdr:cNvPr id="32" name="Organigramme : Disque magnétique 31"/>
        <xdr:cNvSpPr/>
      </xdr:nvSpPr>
      <xdr:spPr>
        <a:xfrm>
          <a:off x="5308760" y="4488656"/>
          <a:ext cx="870584" cy="614363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347663</xdr:colOff>
      <xdr:row>20</xdr:row>
      <xdr:rowOff>183356</xdr:rowOff>
    </xdr:from>
    <xdr:to>
      <xdr:col>9</xdr:col>
      <xdr:colOff>176920</xdr:colOff>
      <xdr:row>22</xdr:row>
      <xdr:rowOff>54068</xdr:rowOff>
    </xdr:to>
    <xdr:sp macro="" textlink="">
      <xdr:nvSpPr>
        <xdr:cNvPr id="33" name="ZoneTexte 32"/>
        <xdr:cNvSpPr txBox="1"/>
      </xdr:nvSpPr>
      <xdr:spPr>
        <a:xfrm>
          <a:off x="5467351" y="4445794"/>
          <a:ext cx="662694" cy="275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05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11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117635</xdr:colOff>
      <xdr:row>22</xdr:row>
      <xdr:rowOff>78580</xdr:rowOff>
    </xdr:from>
    <xdr:to>
      <xdr:col>9</xdr:col>
      <xdr:colOff>29529</xdr:colOff>
      <xdr:row>23</xdr:row>
      <xdr:rowOff>152399</xdr:rowOff>
    </xdr:to>
    <xdr:sp macro="" textlink="$AI$1">
      <xdr:nvSpPr>
        <xdr:cNvPr id="34" name="ZoneTexte 33"/>
        <xdr:cNvSpPr txBox="1"/>
      </xdr:nvSpPr>
      <xdr:spPr>
        <a:xfrm>
          <a:off x="5237323" y="4745830"/>
          <a:ext cx="7453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02796324-7299-4F5B-9530-8064264054A6}" type="TxLink">
            <a:rPr lang="fr-FR" sz="14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 algn="ctr"/>
            <a:t>7,9</a:t>
          </a:fld>
          <a:endParaRPr lang="fr-FR" sz="14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695606</xdr:colOff>
      <xdr:row>22</xdr:row>
      <xdr:rowOff>66278</xdr:rowOff>
    </xdr:from>
    <xdr:to>
      <xdr:col>9</xdr:col>
      <xdr:colOff>355217</xdr:colOff>
      <xdr:row>23</xdr:row>
      <xdr:rowOff>119839</xdr:rowOff>
    </xdr:to>
    <xdr:sp macro="" textlink="">
      <xdr:nvSpPr>
        <xdr:cNvPr id="35" name="ZoneTexte 34"/>
        <xdr:cNvSpPr txBox="1"/>
      </xdr:nvSpPr>
      <xdr:spPr>
        <a:xfrm>
          <a:off x="5815294" y="4733528"/>
          <a:ext cx="493048" cy="255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4</xdr:col>
      <xdr:colOff>322422</xdr:colOff>
      <xdr:row>16</xdr:row>
      <xdr:rowOff>190024</xdr:rowOff>
    </xdr:from>
    <xdr:to>
      <xdr:col>7</xdr:col>
      <xdr:colOff>698195</xdr:colOff>
      <xdr:row>18</xdr:row>
      <xdr:rowOff>315750</xdr:rowOff>
    </xdr:to>
    <xdr:sp macro="" textlink="">
      <xdr:nvSpPr>
        <xdr:cNvPr id="38" name="Flèche droite 37"/>
        <xdr:cNvSpPr/>
      </xdr:nvSpPr>
      <xdr:spPr>
        <a:xfrm>
          <a:off x="2846547" y="3238024"/>
          <a:ext cx="2268867" cy="506726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>
            <a:latin typeface="PT Sans" pitchFamily="34" charset="0"/>
          </a:endParaRPr>
        </a:p>
      </xdr:txBody>
    </xdr:sp>
    <xdr:clientData/>
  </xdr:twoCellAnchor>
  <xdr:oneCellAnchor>
    <xdr:from>
      <xdr:col>4</xdr:col>
      <xdr:colOff>360521</xdr:colOff>
      <xdr:row>17</xdr:row>
      <xdr:rowOff>92868</xdr:rowOff>
    </xdr:from>
    <xdr:ext cx="3101676" cy="231531"/>
    <xdr:sp macro="" textlink="">
      <xdr:nvSpPr>
        <xdr:cNvPr id="36" name="Rectangle 35"/>
        <xdr:cNvSpPr/>
      </xdr:nvSpPr>
      <xdr:spPr>
        <a:xfrm>
          <a:off x="2884646" y="3331368"/>
          <a:ext cx="3101676" cy="231531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 en poussant</a:t>
          </a:r>
        </a:p>
      </xdr:txBody>
    </xdr:sp>
    <xdr:clientData/>
  </xdr:oneCellAnchor>
  <xdr:twoCellAnchor>
    <xdr:from>
      <xdr:col>8</xdr:col>
      <xdr:colOff>516732</xdr:colOff>
      <xdr:row>17</xdr:row>
      <xdr:rowOff>104297</xdr:rowOff>
    </xdr:from>
    <xdr:to>
      <xdr:col>9</xdr:col>
      <xdr:colOff>231890</xdr:colOff>
      <xdr:row>18</xdr:row>
      <xdr:rowOff>211955</xdr:rowOff>
    </xdr:to>
    <xdr:sp macro="" textlink="">
      <xdr:nvSpPr>
        <xdr:cNvPr id="40" name="A"/>
        <xdr:cNvSpPr txBox="1"/>
      </xdr:nvSpPr>
      <xdr:spPr>
        <a:xfrm>
          <a:off x="5636420" y="3342797"/>
          <a:ext cx="548595" cy="29815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002">
          <a:schemeClr val="dk2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latin typeface="PT Sans" pitchFamily="34" charset="0"/>
              <a:cs typeface="Times New Roman" pitchFamily="18" charset="0"/>
            </a:rPr>
            <a:t>DaN</a:t>
          </a:r>
          <a:r>
            <a:rPr lang="en-US" b="1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8</xdr:col>
      <xdr:colOff>36193</xdr:colOff>
      <xdr:row>17</xdr:row>
      <xdr:rowOff>111442</xdr:rowOff>
    </xdr:from>
    <xdr:to>
      <xdr:col>9</xdr:col>
      <xdr:colOff>387266</xdr:colOff>
      <xdr:row>18</xdr:row>
      <xdr:rowOff>204722</xdr:rowOff>
    </xdr:to>
    <xdr:sp macro="" textlink="$AJ$1">
      <xdr:nvSpPr>
        <xdr:cNvPr id="41" name="A"/>
        <xdr:cNvSpPr txBox="1"/>
      </xdr:nvSpPr>
      <xdr:spPr>
        <a:xfrm>
          <a:off x="5155881" y="3349942"/>
          <a:ext cx="1184510" cy="28378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002">
          <a:schemeClr val="dk2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EF64A8AF-1990-4A34-B8B0-CD46B8EB97B5}" type="TxLink">
            <a:rPr lang="en-US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982</a:t>
          </a:fld>
          <a:endParaRPr lang="en-US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439102</xdr:colOff>
      <xdr:row>9</xdr:row>
      <xdr:rowOff>28574</xdr:rowOff>
    </xdr:from>
    <xdr:to>
      <xdr:col>6</xdr:col>
      <xdr:colOff>439101</xdr:colOff>
      <xdr:row>10</xdr:row>
      <xdr:rowOff>76199</xdr:rowOff>
    </xdr:to>
    <xdr:sp macro="" textlink="$C$23">
      <xdr:nvSpPr>
        <xdr:cNvPr id="42" name="ZoneTexte 41"/>
        <xdr:cNvSpPr txBox="1"/>
      </xdr:nvSpPr>
      <xdr:spPr>
        <a:xfrm>
          <a:off x="3594258" y="1743074"/>
          <a:ext cx="63103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FF58496-0F1A-4CBE-9B00-AAE0C8BCF67E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150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oneCellAnchor>
    <xdr:from>
      <xdr:col>11</xdr:col>
      <xdr:colOff>0</xdr:colOff>
      <xdr:row>17</xdr:row>
      <xdr:rowOff>57150</xdr:rowOff>
    </xdr:from>
    <xdr:ext cx="184731" cy="264560"/>
    <xdr:sp macro="" textlink="">
      <xdr:nvSpPr>
        <xdr:cNvPr id="29" name="ZoneTexte 28"/>
        <xdr:cNvSpPr txBox="1"/>
      </xdr:nvSpPr>
      <xdr:spPr>
        <a:xfrm>
          <a:off x="7421880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3</xdr:col>
      <xdr:colOff>81915</xdr:colOff>
      <xdr:row>1</xdr:row>
      <xdr:rowOff>175737</xdr:rowOff>
    </xdr:from>
    <xdr:to>
      <xdr:col>4</xdr:col>
      <xdr:colOff>158115</xdr:colOff>
      <xdr:row>3</xdr:row>
      <xdr:rowOff>40543</xdr:rowOff>
    </xdr:to>
    <xdr:sp macro="" textlink="$Y$1">
      <xdr:nvSpPr>
        <xdr:cNvPr id="31" name="ZoneTexte 30"/>
        <xdr:cNvSpPr txBox="1"/>
      </xdr:nvSpPr>
      <xdr:spPr>
        <a:xfrm>
          <a:off x="1975009" y="366237"/>
          <a:ext cx="707231" cy="245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23B9CD55-A46A-402C-82A1-913FC2FC156A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321946</xdr:colOff>
      <xdr:row>2</xdr:row>
      <xdr:rowOff>6668</xdr:rowOff>
    </xdr:from>
    <xdr:to>
      <xdr:col>6</xdr:col>
      <xdr:colOff>314269</xdr:colOff>
      <xdr:row>3</xdr:row>
      <xdr:rowOff>100066</xdr:rowOff>
    </xdr:to>
    <xdr:sp macro="" textlink="">
      <xdr:nvSpPr>
        <xdr:cNvPr id="44" name="ZoneTexte 43"/>
        <xdr:cNvSpPr txBox="1"/>
      </xdr:nvSpPr>
      <xdr:spPr>
        <a:xfrm>
          <a:off x="3477102" y="387668"/>
          <a:ext cx="623355" cy="283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>
    <xdr:from>
      <xdr:col>13</xdr:col>
      <xdr:colOff>393859</xdr:colOff>
      <xdr:row>3</xdr:row>
      <xdr:rowOff>123826</xdr:rowOff>
    </xdr:from>
    <xdr:to>
      <xdr:col>14</xdr:col>
      <xdr:colOff>241457</xdr:colOff>
      <xdr:row>4</xdr:row>
      <xdr:rowOff>180976</xdr:rowOff>
    </xdr:to>
    <xdr:sp macro="" textlink="">
      <xdr:nvSpPr>
        <xdr:cNvPr id="39" name="ZoneTexte 38"/>
        <xdr:cNvSpPr txBox="1"/>
      </xdr:nvSpPr>
      <xdr:spPr>
        <a:xfrm>
          <a:off x="8883015" y="695326"/>
          <a:ext cx="4786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accent1">
                  <a:lumMod val="50000"/>
                </a:schemeClr>
              </a:solidFill>
            </a:rPr>
            <a:t>Ø</a:t>
          </a:r>
        </a:p>
      </xdr:txBody>
    </xdr:sp>
    <xdr:clientData/>
  </xdr:twoCellAnchor>
  <xdr:twoCellAnchor>
    <xdr:from>
      <xdr:col>5</xdr:col>
      <xdr:colOff>95250</xdr:colOff>
      <xdr:row>6</xdr:row>
      <xdr:rowOff>73819</xdr:rowOff>
    </xdr:from>
    <xdr:to>
      <xdr:col>6</xdr:col>
      <xdr:colOff>114299</xdr:colOff>
      <xdr:row>7</xdr:row>
      <xdr:rowOff>114003</xdr:rowOff>
    </xdr:to>
    <xdr:sp macro="" textlink="$AB$17">
      <xdr:nvSpPr>
        <xdr:cNvPr id="45" name="ZoneTexte 44"/>
        <xdr:cNvSpPr txBox="1"/>
      </xdr:nvSpPr>
      <xdr:spPr>
        <a:xfrm>
          <a:off x="3250406" y="1216819"/>
          <a:ext cx="650081" cy="230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148D4D0-2286-4126-81E8-3D609523FFE5}" type="TxLink">
            <a:rPr lang="fr-FR" sz="14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0,29</a:t>
          </a:fld>
          <a:endParaRPr lang="fr-FR" sz="14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493873</xdr:colOff>
      <xdr:row>6</xdr:row>
      <xdr:rowOff>73819</xdr:rowOff>
    </xdr:from>
    <xdr:to>
      <xdr:col>6</xdr:col>
      <xdr:colOff>576263</xdr:colOff>
      <xdr:row>7</xdr:row>
      <xdr:rowOff>114003</xdr:rowOff>
    </xdr:to>
    <xdr:sp macro="" textlink="">
      <xdr:nvSpPr>
        <xdr:cNvPr id="47" name="ZoneTexte 46"/>
        <xdr:cNvSpPr txBox="1"/>
      </xdr:nvSpPr>
      <xdr:spPr>
        <a:xfrm>
          <a:off x="3649029" y="1216819"/>
          <a:ext cx="713422" cy="230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5</xdr:col>
      <xdr:colOff>26670</xdr:colOff>
      <xdr:row>4</xdr:row>
      <xdr:rowOff>35719</xdr:rowOff>
    </xdr:from>
    <xdr:to>
      <xdr:col>5</xdr:col>
      <xdr:colOff>196481</xdr:colOff>
      <xdr:row>6</xdr:row>
      <xdr:rowOff>64294</xdr:rowOff>
    </xdr:to>
    <xdr:sp macro="" textlink="$AG$1">
      <xdr:nvSpPr>
        <xdr:cNvPr id="46" name="ZoneTexte 45"/>
        <xdr:cNvSpPr txBox="1"/>
      </xdr:nvSpPr>
      <xdr:spPr>
        <a:xfrm rot="16200000">
          <a:off x="3061944" y="917601"/>
          <a:ext cx="409575" cy="169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99201C26-3688-4402-B93F-4418641AE150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3</xdr:col>
      <xdr:colOff>69056</xdr:colOff>
      <xdr:row>17</xdr:row>
      <xdr:rowOff>16669</xdr:rowOff>
    </xdr:from>
    <xdr:to>
      <xdr:col>3</xdr:col>
      <xdr:colOff>421481</xdr:colOff>
      <xdr:row>18</xdr:row>
      <xdr:rowOff>121444</xdr:rowOff>
    </xdr:to>
    <xdr:pic>
      <xdr:nvPicPr>
        <xdr:cNvPr id="573284" name="Image 48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2150" y="3255169"/>
          <a:ext cx="3524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28575</xdr:rowOff>
    </xdr:from>
    <xdr:to>
      <xdr:col>0</xdr:col>
      <xdr:colOff>400050</xdr:colOff>
      <xdr:row>12</xdr:row>
      <xdr:rowOff>19050</xdr:rowOff>
    </xdr:to>
    <xdr:pic>
      <xdr:nvPicPr>
        <xdr:cNvPr id="573285" name="Image 49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1933575"/>
          <a:ext cx="2952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233362</xdr:colOff>
      <xdr:row>10</xdr:row>
      <xdr:rowOff>30956</xdr:rowOff>
    </xdr:from>
    <xdr:to>
      <xdr:col>14</xdr:col>
      <xdr:colOff>531018</xdr:colOff>
      <xdr:row>12</xdr:row>
      <xdr:rowOff>11906</xdr:rowOff>
    </xdr:to>
    <xdr:pic>
      <xdr:nvPicPr>
        <xdr:cNvPr id="573286" name="Image 50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53550" y="1935956"/>
          <a:ext cx="297656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80962</xdr:colOff>
      <xdr:row>10</xdr:row>
      <xdr:rowOff>45244</xdr:rowOff>
    </xdr:from>
    <xdr:to>
      <xdr:col>10</xdr:col>
      <xdr:colOff>376237</xdr:colOff>
      <xdr:row>12</xdr:row>
      <xdr:rowOff>26194</xdr:rowOff>
    </xdr:to>
    <xdr:pic>
      <xdr:nvPicPr>
        <xdr:cNvPr id="573287" name="Image 51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77025" y="1950244"/>
          <a:ext cx="295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121443</xdr:colOff>
      <xdr:row>11</xdr:row>
      <xdr:rowOff>166687</xdr:rowOff>
    </xdr:from>
    <xdr:to>
      <xdr:col>9</xdr:col>
      <xdr:colOff>315276</xdr:colOff>
      <xdr:row>14</xdr:row>
      <xdr:rowOff>140069</xdr:rowOff>
    </xdr:to>
    <xdr:sp macro="" textlink="$A$26">
      <xdr:nvSpPr>
        <xdr:cNvPr id="48" name="ZoneTexte 47"/>
        <xdr:cNvSpPr txBox="1"/>
      </xdr:nvSpPr>
      <xdr:spPr>
        <a:xfrm>
          <a:off x="2645568" y="2262187"/>
          <a:ext cx="3622833" cy="544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5059E98-1D78-4159-A241-4A8977A24303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Températures de fonctionnement -20 à 90°C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464343</xdr:colOff>
      <xdr:row>27</xdr:row>
      <xdr:rowOff>47625</xdr:rowOff>
    </xdr:from>
    <xdr:to>
      <xdr:col>7</xdr:col>
      <xdr:colOff>130969</xdr:colOff>
      <xdr:row>29</xdr:row>
      <xdr:rowOff>95251</xdr:rowOff>
    </xdr:to>
    <xdr:sp macro="" textlink="">
      <xdr:nvSpPr>
        <xdr:cNvPr id="49" name="Rectangle à coins arrondis 48">
          <a:hlinkClick xmlns:r="http://schemas.openxmlformats.org/officeDocument/2006/relationships" r:id="rId4"/>
        </xdr:cNvPr>
        <xdr:cNvSpPr/>
      </xdr:nvSpPr>
      <xdr:spPr>
        <a:xfrm>
          <a:off x="464343" y="5798344"/>
          <a:ext cx="4083845" cy="523876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 editAs="oneCell">
    <xdr:from>
      <xdr:col>9</xdr:col>
      <xdr:colOff>595315</xdr:colOff>
      <xdr:row>27</xdr:row>
      <xdr:rowOff>59530</xdr:rowOff>
    </xdr:from>
    <xdr:to>
      <xdr:col>12</xdr:col>
      <xdr:colOff>129096</xdr:colOff>
      <xdr:row>29</xdr:row>
      <xdr:rowOff>64906</xdr:rowOff>
    </xdr:to>
    <xdr:pic>
      <xdr:nvPicPr>
        <xdr:cNvPr id="50" name="Image 49" descr="Logo-Luce-Hydr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8440" y="5810249"/>
          <a:ext cx="1438781" cy="481626"/>
        </a:xfrm>
        <a:prstGeom prst="rect">
          <a:avLst/>
        </a:prstGeom>
      </xdr:spPr>
    </xdr:pic>
    <xdr:clientData/>
  </xdr:twoCellAnchor>
  <xdr:twoCellAnchor editAs="oneCell">
    <xdr:from>
      <xdr:col>12</xdr:col>
      <xdr:colOff>309563</xdr:colOff>
      <xdr:row>24</xdr:row>
      <xdr:rowOff>107156</xdr:rowOff>
    </xdr:from>
    <xdr:to>
      <xdr:col>15</xdr:col>
      <xdr:colOff>23812</xdr:colOff>
      <xdr:row>31</xdr:row>
      <xdr:rowOff>83343</xdr:rowOff>
    </xdr:to>
    <xdr:pic>
      <xdr:nvPicPr>
        <xdr:cNvPr id="51" name="Image 50" descr="logo_socah_hydraulique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67688" y="5179219"/>
          <a:ext cx="1607343" cy="1607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557122</xdr:colOff>
      <xdr:row>20</xdr:row>
      <xdr:rowOff>9525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1"/>
        <a:srcRect l="6927" t="5920" r="-215" b="-22"/>
        <a:stretch>
          <a:fillRect/>
        </a:stretch>
      </xdr:blipFill>
      <xdr:spPr>
        <a:xfrm>
          <a:off x="0" y="0"/>
          <a:ext cx="8427153" cy="423624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689609</xdr:colOff>
      <xdr:row>16</xdr:row>
      <xdr:rowOff>125730</xdr:rowOff>
    </xdr:from>
    <xdr:to>
      <xdr:col>6</xdr:col>
      <xdr:colOff>379070</xdr:colOff>
      <xdr:row>19</xdr:row>
      <xdr:rowOff>97231</xdr:rowOff>
    </xdr:to>
    <xdr:sp macro="" textlink="">
      <xdr:nvSpPr>
        <xdr:cNvPr id="35" name="Flèche droite 34"/>
        <xdr:cNvSpPr/>
      </xdr:nvSpPr>
      <xdr:spPr>
        <a:xfrm>
          <a:off x="2295524" y="3448050"/>
          <a:ext cx="2171701" cy="600075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oneCellAnchor>
    <xdr:from>
      <xdr:col>2</xdr:col>
      <xdr:colOff>715804</xdr:colOff>
      <xdr:row>17</xdr:row>
      <xdr:rowOff>61912</xdr:rowOff>
    </xdr:from>
    <xdr:ext cx="2667847" cy="304800"/>
    <xdr:sp macro="" textlink="">
      <xdr:nvSpPr>
        <xdr:cNvPr id="36" name="Rectangle 35"/>
        <xdr:cNvSpPr/>
      </xdr:nvSpPr>
      <xdr:spPr>
        <a:xfrm>
          <a:off x="2323148" y="3645693"/>
          <a:ext cx="2667847" cy="304800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 en</a:t>
          </a:r>
          <a:r>
            <a:rPr lang="fr-FR" sz="1400" b="0" cap="none" spc="150" baseline="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 poussant</a:t>
          </a:r>
          <a:endParaRPr lang="fr-FR" sz="1400" b="0" cap="none" spc="150">
            <a:ln w="11430">
              <a:solidFill>
                <a:schemeClr val="bg1"/>
              </a:solidFill>
            </a:ln>
            <a:solidFill>
              <a:schemeClr val="bg1"/>
            </a:solidFill>
            <a:effectLst/>
            <a:latin typeface="PT Sans" pitchFamily="34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358140</xdr:colOff>
      <xdr:row>17</xdr:row>
      <xdr:rowOff>87630</xdr:rowOff>
    </xdr:from>
    <xdr:to>
      <xdr:col>9</xdr:col>
      <xdr:colOff>293391</xdr:colOff>
      <xdr:row>18</xdr:row>
      <xdr:rowOff>125730</xdr:rowOff>
    </xdr:to>
    <xdr:sp macro="" textlink="">
      <xdr:nvSpPr>
        <xdr:cNvPr id="38" name="A"/>
        <xdr:cNvSpPr txBox="1"/>
      </xdr:nvSpPr>
      <xdr:spPr>
        <a:xfrm>
          <a:off x="5038725" y="3609975"/>
          <a:ext cx="1209675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002">
          <a:schemeClr val="dk2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latin typeface="PT Sans" pitchFamily="34" charset="0"/>
              <a:cs typeface="Times New Roman" pitchFamily="18" charset="0"/>
            </a:rPr>
            <a:t>DaN </a:t>
          </a:r>
        </a:p>
      </xdr:txBody>
    </xdr:sp>
    <xdr:clientData/>
  </xdr:twoCellAnchor>
  <xdr:twoCellAnchor>
    <xdr:from>
      <xdr:col>4</xdr:col>
      <xdr:colOff>350520</xdr:colOff>
      <xdr:row>9</xdr:row>
      <xdr:rowOff>133350</xdr:rowOff>
    </xdr:from>
    <xdr:to>
      <xdr:col>5</xdr:col>
      <xdr:colOff>198164</xdr:colOff>
      <xdr:row>11</xdr:row>
      <xdr:rowOff>57394</xdr:rowOff>
    </xdr:to>
    <xdr:sp macro="" textlink="">
      <xdr:nvSpPr>
        <xdr:cNvPr id="48" name="ZoneTexte 47"/>
        <xdr:cNvSpPr txBox="1"/>
      </xdr:nvSpPr>
      <xdr:spPr>
        <a:xfrm>
          <a:off x="3076575" y="2305050"/>
          <a:ext cx="5143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2</xdr:col>
      <xdr:colOff>358140</xdr:colOff>
      <xdr:row>9</xdr:row>
      <xdr:rowOff>138112</xdr:rowOff>
    </xdr:from>
    <xdr:to>
      <xdr:col>3</xdr:col>
      <xdr:colOff>415456</xdr:colOff>
      <xdr:row>11</xdr:row>
      <xdr:rowOff>71438</xdr:rowOff>
    </xdr:to>
    <xdr:sp macro="" textlink="">
      <xdr:nvSpPr>
        <xdr:cNvPr id="49" name="ZoneTexte 48"/>
        <xdr:cNvSpPr txBox="1"/>
      </xdr:nvSpPr>
      <xdr:spPr>
        <a:xfrm>
          <a:off x="1914525" y="2309812"/>
          <a:ext cx="80962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</a:p>
      </xdr:txBody>
    </xdr:sp>
    <xdr:clientData/>
  </xdr:twoCellAnchor>
  <xdr:twoCellAnchor>
    <xdr:from>
      <xdr:col>8</xdr:col>
      <xdr:colOff>157639</xdr:colOff>
      <xdr:row>20</xdr:row>
      <xdr:rowOff>176213</xdr:rowOff>
    </xdr:from>
    <xdr:to>
      <xdr:col>9</xdr:col>
      <xdr:colOff>472964</xdr:colOff>
      <xdr:row>24</xdr:row>
      <xdr:rowOff>45244</xdr:rowOff>
    </xdr:to>
    <xdr:sp macro="" textlink="">
      <xdr:nvSpPr>
        <xdr:cNvPr id="50" name="Organigramme : Disque magnétique 49"/>
        <xdr:cNvSpPr/>
      </xdr:nvSpPr>
      <xdr:spPr>
        <a:xfrm>
          <a:off x="5646420" y="4402932"/>
          <a:ext cx="1029700" cy="690562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338613</xdr:colOff>
      <xdr:row>20</xdr:row>
      <xdr:rowOff>147637</xdr:rowOff>
    </xdr:from>
    <xdr:to>
      <xdr:col>9</xdr:col>
      <xdr:colOff>332053</xdr:colOff>
      <xdr:row>22</xdr:row>
      <xdr:rowOff>33011</xdr:rowOff>
    </xdr:to>
    <xdr:sp macro="" textlink="">
      <xdr:nvSpPr>
        <xdr:cNvPr id="51" name="ZoneTexte 50"/>
        <xdr:cNvSpPr txBox="1"/>
      </xdr:nvSpPr>
      <xdr:spPr>
        <a:xfrm>
          <a:off x="5827394" y="4374356"/>
          <a:ext cx="707815" cy="2901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40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11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43144</xdr:colOff>
      <xdr:row>22</xdr:row>
      <xdr:rowOff>37148</xdr:rowOff>
    </xdr:from>
    <xdr:to>
      <xdr:col>11</xdr:col>
      <xdr:colOff>1071562</xdr:colOff>
      <xdr:row>23</xdr:row>
      <xdr:rowOff>176340</xdr:rowOff>
    </xdr:to>
    <xdr:sp macro="" textlink="">
      <xdr:nvSpPr>
        <xdr:cNvPr id="52" name="ZoneTexte 51"/>
        <xdr:cNvSpPr txBox="1"/>
      </xdr:nvSpPr>
      <xdr:spPr>
        <a:xfrm>
          <a:off x="6246300" y="4668679"/>
          <a:ext cx="2695293" cy="34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6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8</xdr:col>
      <xdr:colOff>123825</xdr:colOff>
      <xdr:row>9</xdr:row>
      <xdr:rowOff>76200</xdr:rowOff>
    </xdr:from>
    <xdr:to>
      <xdr:col>8</xdr:col>
      <xdr:colOff>379214</xdr:colOff>
      <xdr:row>11</xdr:row>
      <xdr:rowOff>173448</xdr:rowOff>
    </xdr:to>
    <xdr:sp macro="" textlink="$P$2">
      <xdr:nvSpPr>
        <xdr:cNvPr id="56" name="ZoneTexte 55"/>
        <xdr:cNvSpPr txBox="1"/>
      </xdr:nvSpPr>
      <xdr:spPr>
        <a:xfrm rot="16200000">
          <a:off x="5486400" y="2057400"/>
          <a:ext cx="514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60CC810-9BE3-4F3A-BE53-F2EC59A5C1B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150495</xdr:colOff>
      <xdr:row>9</xdr:row>
      <xdr:rowOff>133350</xdr:rowOff>
    </xdr:from>
    <xdr:to>
      <xdr:col>0</xdr:col>
      <xdr:colOff>398145</xdr:colOff>
      <xdr:row>12</xdr:row>
      <xdr:rowOff>11730</xdr:rowOff>
    </xdr:to>
    <xdr:sp macro="" textlink="$T$2">
      <xdr:nvSpPr>
        <xdr:cNvPr id="57" name="ZoneTexte 56"/>
        <xdr:cNvSpPr txBox="1"/>
      </xdr:nvSpPr>
      <xdr:spPr>
        <a:xfrm rot="16200000">
          <a:off x="28575" y="2028825"/>
          <a:ext cx="495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D689C46D-176F-4F2A-A0F5-B848E0C608E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85724</xdr:colOff>
      <xdr:row>3</xdr:row>
      <xdr:rowOff>104775</xdr:rowOff>
    </xdr:from>
    <xdr:to>
      <xdr:col>4</xdr:col>
      <xdr:colOff>179096</xdr:colOff>
      <xdr:row>4</xdr:row>
      <xdr:rowOff>152400</xdr:rowOff>
    </xdr:to>
    <xdr:sp macro="" textlink="$W$2">
      <xdr:nvSpPr>
        <xdr:cNvPr id="59" name="ZoneTexte 58"/>
        <xdr:cNvSpPr txBox="1"/>
      </xdr:nvSpPr>
      <xdr:spPr>
        <a:xfrm>
          <a:off x="2390774" y="685800"/>
          <a:ext cx="523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D8AA70BE-33A9-446A-B945-E5915AA7B508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1/4'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312420</xdr:colOff>
      <xdr:row>9</xdr:row>
      <xdr:rowOff>133350</xdr:rowOff>
    </xdr:from>
    <xdr:to>
      <xdr:col>4</xdr:col>
      <xdr:colOff>622953</xdr:colOff>
      <xdr:row>11</xdr:row>
      <xdr:rowOff>19050</xdr:rowOff>
    </xdr:to>
    <xdr:sp macro="" textlink="$C$23">
      <xdr:nvSpPr>
        <xdr:cNvPr id="60" name="ZoneTexte 59"/>
        <xdr:cNvSpPr txBox="1"/>
      </xdr:nvSpPr>
      <xdr:spPr>
        <a:xfrm>
          <a:off x="2609850" y="2305050"/>
          <a:ext cx="7429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503FFE3-5A2F-4B2E-854F-6E18F8A9C41E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95249</xdr:colOff>
      <xdr:row>17</xdr:row>
      <xdr:rowOff>87630</xdr:rowOff>
    </xdr:from>
    <xdr:to>
      <xdr:col>8</xdr:col>
      <xdr:colOff>152399</xdr:colOff>
      <xdr:row>18</xdr:row>
      <xdr:rowOff>125730</xdr:rowOff>
    </xdr:to>
    <xdr:sp macro="" textlink="$AA$2">
      <xdr:nvSpPr>
        <xdr:cNvPr id="61" name="ZoneTexte 60"/>
        <xdr:cNvSpPr txBox="1"/>
      </xdr:nvSpPr>
      <xdr:spPr>
        <a:xfrm>
          <a:off x="4181474" y="3609975"/>
          <a:ext cx="12096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F6F2B9D0-8825-4DD2-8D30-A6A9DBB4404C}" type="TxLink">
            <a:rPr lang="fr-FR" sz="14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 algn="ctr"/>
            <a:t>628</a:t>
          </a:fld>
          <a:endParaRPr lang="fr-FR" sz="14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340995</xdr:colOff>
      <xdr:row>2</xdr:row>
      <xdr:rowOff>182880</xdr:rowOff>
    </xdr:from>
    <xdr:to>
      <xdr:col>2</xdr:col>
      <xdr:colOff>226695</xdr:colOff>
      <xdr:row>4</xdr:row>
      <xdr:rowOff>28639</xdr:rowOff>
    </xdr:to>
    <xdr:sp macro="" textlink="$U$2">
      <xdr:nvSpPr>
        <xdr:cNvPr id="66" name="ZoneTexte 65"/>
        <xdr:cNvSpPr txBox="1"/>
      </xdr:nvSpPr>
      <xdr:spPr>
        <a:xfrm>
          <a:off x="1143000" y="561975"/>
          <a:ext cx="6953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9189677-991E-4B95-BAF6-767557D6F970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27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424815</xdr:colOff>
      <xdr:row>1</xdr:row>
      <xdr:rowOff>135255</xdr:rowOff>
    </xdr:from>
    <xdr:to>
      <xdr:col>6</xdr:col>
      <xdr:colOff>445771</xdr:colOff>
      <xdr:row>3</xdr:row>
      <xdr:rowOff>162</xdr:rowOff>
    </xdr:to>
    <xdr:sp macro="" textlink="$S$2">
      <xdr:nvSpPr>
        <xdr:cNvPr id="67" name="ZoneTexte 66"/>
        <xdr:cNvSpPr txBox="1"/>
      </xdr:nvSpPr>
      <xdr:spPr>
        <a:xfrm>
          <a:off x="3867150" y="304800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FE5C98B-63DD-49D6-9792-4776703F10B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84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424815</xdr:colOff>
      <xdr:row>0</xdr:row>
      <xdr:rowOff>0</xdr:rowOff>
    </xdr:from>
    <xdr:to>
      <xdr:col>6</xdr:col>
      <xdr:colOff>445771</xdr:colOff>
      <xdr:row>1</xdr:row>
      <xdr:rowOff>104775</xdr:rowOff>
    </xdr:to>
    <xdr:sp macro="" textlink="$R$2">
      <xdr:nvSpPr>
        <xdr:cNvPr id="68" name="ZoneTexte 67"/>
        <xdr:cNvSpPr txBox="1"/>
      </xdr:nvSpPr>
      <xdr:spPr>
        <a:xfrm>
          <a:off x="3867150" y="0"/>
          <a:ext cx="666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A3CC07A5-90ED-4AF1-AB15-ED947607D8C0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114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226695</xdr:colOff>
      <xdr:row>3</xdr:row>
      <xdr:rowOff>104775</xdr:rowOff>
    </xdr:from>
    <xdr:to>
      <xdr:col>9</xdr:col>
      <xdr:colOff>121920</xdr:colOff>
      <xdr:row>4</xdr:row>
      <xdr:rowOff>183110</xdr:rowOff>
    </xdr:to>
    <xdr:sp macro="" textlink="$Y$2">
      <xdr:nvSpPr>
        <xdr:cNvPr id="70" name="ZoneTexte 69"/>
        <xdr:cNvSpPr txBox="1"/>
      </xdr:nvSpPr>
      <xdr:spPr>
        <a:xfrm>
          <a:off x="5715000" y="695325"/>
          <a:ext cx="609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471D8474-C745-4B4B-AE30-5F321B7713D6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42865</xdr:colOff>
      <xdr:row>5</xdr:row>
      <xdr:rowOff>3809</xdr:rowOff>
    </xdr:from>
    <xdr:to>
      <xdr:col>3</xdr:col>
      <xdr:colOff>317100</xdr:colOff>
      <xdr:row>7</xdr:row>
      <xdr:rowOff>52410</xdr:rowOff>
    </xdr:to>
    <xdr:sp macro="" textlink="$X$2">
      <xdr:nvSpPr>
        <xdr:cNvPr id="71" name="ZoneTexte 70"/>
        <xdr:cNvSpPr txBox="1"/>
      </xdr:nvSpPr>
      <xdr:spPr>
        <a:xfrm rot="16200000">
          <a:off x="2293145" y="1102519"/>
          <a:ext cx="46196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850B06C-71BE-40B9-B7FC-ACF225EE8936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611028</xdr:colOff>
      <xdr:row>7</xdr:row>
      <xdr:rowOff>166688</xdr:rowOff>
    </xdr:from>
    <xdr:to>
      <xdr:col>4</xdr:col>
      <xdr:colOff>102276</xdr:colOff>
      <xdr:row>9</xdr:row>
      <xdr:rowOff>52388</xdr:rowOff>
    </xdr:to>
    <xdr:sp macro="" textlink="$T$18">
      <xdr:nvSpPr>
        <xdr:cNvPr id="75" name="ZoneTexte 74"/>
        <xdr:cNvSpPr txBox="1"/>
      </xdr:nvSpPr>
      <xdr:spPr>
        <a:xfrm>
          <a:off x="2218372" y="1619251"/>
          <a:ext cx="669967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03C66AA-3312-4162-8395-C4F3D8645338}" type="TxLink">
            <a:rPr lang="fr-FR" sz="14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0,01</a:t>
          </a:fld>
          <a:endParaRPr lang="fr-FR" sz="14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148114</xdr:colOff>
      <xdr:row>22</xdr:row>
      <xdr:rowOff>47149</xdr:rowOff>
    </xdr:from>
    <xdr:to>
      <xdr:col>9</xdr:col>
      <xdr:colOff>150993</xdr:colOff>
      <xdr:row>23</xdr:row>
      <xdr:rowOff>142622</xdr:rowOff>
    </xdr:to>
    <xdr:sp macro="" textlink="$Z$2">
      <xdr:nvSpPr>
        <xdr:cNvPr id="30" name="ZoneTexte 29"/>
        <xdr:cNvSpPr txBox="1"/>
      </xdr:nvSpPr>
      <xdr:spPr>
        <a:xfrm>
          <a:off x="5636895" y="4678680"/>
          <a:ext cx="717254" cy="29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379E265E-64E4-4A5A-BBB4-AE0891629F93}" type="TxLink">
            <a:rPr lang="fr-FR" sz="16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 algn="ctr"/>
            <a:t>0,78</a:t>
          </a:fld>
          <a:endParaRPr lang="fr-FR" sz="16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3</xdr:row>
      <xdr:rowOff>104775</xdr:rowOff>
    </xdr:from>
    <xdr:to>
      <xdr:col>4</xdr:col>
      <xdr:colOff>519851</xdr:colOff>
      <xdr:row>5</xdr:row>
      <xdr:rowOff>28575</xdr:rowOff>
    </xdr:to>
    <xdr:sp macro="" textlink="">
      <xdr:nvSpPr>
        <xdr:cNvPr id="33" name="ZoneTexte 32"/>
        <xdr:cNvSpPr txBox="1"/>
      </xdr:nvSpPr>
      <xdr:spPr>
        <a:xfrm>
          <a:off x="2733675" y="685800"/>
          <a:ext cx="5143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 editAs="oneCell">
    <xdr:from>
      <xdr:col>0</xdr:col>
      <xdr:colOff>180975</xdr:colOff>
      <xdr:row>11</xdr:row>
      <xdr:rowOff>47625</xdr:rowOff>
    </xdr:from>
    <xdr:to>
      <xdr:col>0</xdr:col>
      <xdr:colOff>476250</xdr:colOff>
      <xdr:row>12</xdr:row>
      <xdr:rowOff>200025</xdr:rowOff>
    </xdr:to>
    <xdr:pic>
      <xdr:nvPicPr>
        <xdr:cNvPr id="574081" name="Image 30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2314575"/>
          <a:ext cx="295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11</xdr:row>
      <xdr:rowOff>28575</xdr:rowOff>
    </xdr:from>
    <xdr:to>
      <xdr:col>8</xdr:col>
      <xdr:colOff>476250</xdr:colOff>
      <xdr:row>12</xdr:row>
      <xdr:rowOff>180975</xdr:rowOff>
    </xdr:to>
    <xdr:pic>
      <xdr:nvPicPr>
        <xdr:cNvPr id="574082" name="Image 3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67375" y="2295525"/>
          <a:ext cx="295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350520</xdr:colOff>
      <xdr:row>1</xdr:row>
      <xdr:rowOff>135255</xdr:rowOff>
    </xdr:from>
    <xdr:to>
      <xdr:col>10</xdr:col>
      <xdr:colOff>283914</xdr:colOff>
      <xdr:row>3</xdr:row>
      <xdr:rowOff>162</xdr:rowOff>
    </xdr:to>
    <xdr:sp macro="" textlink="$V$2">
      <xdr:nvSpPr>
        <xdr:cNvPr id="31" name="ZoneTexte 30"/>
        <xdr:cNvSpPr txBox="1"/>
      </xdr:nvSpPr>
      <xdr:spPr>
        <a:xfrm>
          <a:off x="6553200" y="304800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9139F9E-0F4E-4C02-AB89-0B016D23386D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510541</xdr:colOff>
      <xdr:row>11</xdr:row>
      <xdr:rowOff>114301</xdr:rowOff>
    </xdr:from>
    <xdr:to>
      <xdr:col>6</xdr:col>
      <xdr:colOff>619125</xdr:colOff>
      <xdr:row>14</xdr:row>
      <xdr:rowOff>47625</xdr:rowOff>
    </xdr:to>
    <xdr:sp macro="" textlink="$A$26">
      <xdr:nvSpPr>
        <xdr:cNvPr id="32" name="ZoneTexte 31"/>
        <xdr:cNvSpPr txBox="1"/>
      </xdr:nvSpPr>
      <xdr:spPr>
        <a:xfrm>
          <a:off x="1308260" y="2424114"/>
          <a:ext cx="3394709" cy="576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05FBEA8-A53E-483A-A02E-4DD209083D9C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Températures de fonctionnement -20 à 90 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642937</xdr:colOff>
      <xdr:row>27</xdr:row>
      <xdr:rowOff>11906</xdr:rowOff>
    </xdr:from>
    <xdr:to>
      <xdr:col>6</xdr:col>
      <xdr:colOff>642938</xdr:colOff>
      <xdr:row>29</xdr:row>
      <xdr:rowOff>71438</xdr:rowOff>
    </xdr:to>
    <xdr:sp macro="" textlink="">
      <xdr:nvSpPr>
        <xdr:cNvPr id="34" name="Rectangle à coins arrondis 33">
          <a:hlinkClick xmlns:r="http://schemas.openxmlformats.org/officeDocument/2006/relationships" r:id="rId3"/>
        </xdr:cNvPr>
        <xdr:cNvSpPr/>
      </xdr:nvSpPr>
      <xdr:spPr>
        <a:xfrm>
          <a:off x="642937" y="5738812"/>
          <a:ext cx="4083845" cy="535782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>
    <xdr:from>
      <xdr:col>3</xdr:col>
      <xdr:colOff>271462</xdr:colOff>
      <xdr:row>7</xdr:row>
      <xdr:rowOff>154779</xdr:rowOff>
    </xdr:from>
    <xdr:to>
      <xdr:col>4</xdr:col>
      <xdr:colOff>626433</xdr:colOff>
      <xdr:row>9</xdr:row>
      <xdr:rowOff>88105</xdr:rowOff>
    </xdr:to>
    <xdr:sp macro="" textlink="">
      <xdr:nvSpPr>
        <xdr:cNvPr id="37" name="ZoneTexte 36"/>
        <xdr:cNvSpPr txBox="1"/>
      </xdr:nvSpPr>
      <xdr:spPr>
        <a:xfrm>
          <a:off x="2616993" y="1607342"/>
          <a:ext cx="795503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 editAs="oneCell">
    <xdr:from>
      <xdr:col>7</xdr:col>
      <xdr:colOff>619125</xdr:colOff>
      <xdr:row>27</xdr:row>
      <xdr:rowOff>59530</xdr:rowOff>
    </xdr:from>
    <xdr:to>
      <xdr:col>9</xdr:col>
      <xdr:colOff>652969</xdr:colOff>
      <xdr:row>29</xdr:row>
      <xdr:rowOff>64906</xdr:rowOff>
    </xdr:to>
    <xdr:pic>
      <xdr:nvPicPr>
        <xdr:cNvPr id="39" name="Image 38" descr="Logo-Luce-Hydr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17344" y="5786436"/>
          <a:ext cx="1438781" cy="481626"/>
        </a:xfrm>
        <a:prstGeom prst="rect">
          <a:avLst/>
        </a:prstGeom>
      </xdr:spPr>
    </xdr:pic>
    <xdr:clientData/>
  </xdr:twoCellAnchor>
  <xdr:twoCellAnchor editAs="oneCell">
    <xdr:from>
      <xdr:col>10</xdr:col>
      <xdr:colOff>95248</xdr:colOff>
      <xdr:row>24</xdr:row>
      <xdr:rowOff>107156</xdr:rowOff>
    </xdr:from>
    <xdr:to>
      <xdr:col>11</xdr:col>
      <xdr:colOff>773904</xdr:colOff>
      <xdr:row>32</xdr:row>
      <xdr:rowOff>35718</xdr:rowOff>
    </xdr:to>
    <xdr:pic>
      <xdr:nvPicPr>
        <xdr:cNvPr id="40" name="Image 39" descr="logo_socah_hydraulique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36592" y="5155406"/>
          <a:ext cx="1607343" cy="16073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112399</xdr:colOff>
      <xdr:row>20</xdr:row>
      <xdr:rowOff>51574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"/>
        <a:srcRect l="2782" t="8359" r="4173" b="1014"/>
        <a:stretch>
          <a:fillRect/>
        </a:stretch>
      </xdr:blipFill>
      <xdr:spPr>
        <a:xfrm>
          <a:off x="0" y="0"/>
          <a:ext cx="8756337" cy="38615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572350</xdr:colOff>
      <xdr:row>16</xdr:row>
      <xdr:rowOff>23813</xdr:rowOff>
    </xdr:from>
    <xdr:to>
      <xdr:col>7</xdr:col>
      <xdr:colOff>531316</xdr:colOff>
      <xdr:row>19</xdr:row>
      <xdr:rowOff>59531</xdr:rowOff>
    </xdr:to>
    <xdr:sp macro="" textlink="">
      <xdr:nvSpPr>
        <xdr:cNvPr id="56" name="Flèche droite 55"/>
        <xdr:cNvSpPr/>
      </xdr:nvSpPr>
      <xdr:spPr>
        <a:xfrm rot="10800000">
          <a:off x="2775006" y="3071813"/>
          <a:ext cx="2780748" cy="607218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5</xdr:col>
      <xdr:colOff>118858</xdr:colOff>
      <xdr:row>1</xdr:row>
      <xdr:rowOff>122004</xdr:rowOff>
    </xdr:from>
    <xdr:to>
      <xdr:col>6</xdr:col>
      <xdr:colOff>253579</xdr:colOff>
      <xdr:row>2</xdr:row>
      <xdr:rowOff>168386</xdr:rowOff>
    </xdr:to>
    <xdr:sp macro="" textlink="$AG$32">
      <xdr:nvSpPr>
        <xdr:cNvPr id="10" name="ZoneTexte 9"/>
        <xdr:cNvSpPr txBox="1"/>
      </xdr:nvSpPr>
      <xdr:spPr>
        <a:xfrm>
          <a:off x="3443083" y="320124"/>
          <a:ext cx="622437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DC0BC76F-72F3-4CBF-AA1A-2A8AF3386040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356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552369</xdr:colOff>
      <xdr:row>3</xdr:row>
      <xdr:rowOff>167144</xdr:rowOff>
    </xdr:from>
    <xdr:to>
      <xdr:col>5</xdr:col>
      <xdr:colOff>622356</xdr:colOff>
      <xdr:row>5</xdr:row>
      <xdr:rowOff>31950</xdr:rowOff>
    </xdr:to>
    <xdr:sp macro="" textlink="AE32">
      <xdr:nvSpPr>
        <xdr:cNvPr id="11" name="ZoneTexte 10"/>
        <xdr:cNvSpPr txBox="1"/>
      </xdr:nvSpPr>
      <xdr:spPr>
        <a:xfrm>
          <a:off x="3242229" y="746264"/>
          <a:ext cx="71768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6073EB3-ECF8-4CD0-A891-95B58078BA5E}" type="TxLink">
            <a:rPr lang="en-US" sz="1200" b="1" i="0" u="none" strike="noStrike">
              <a:solidFill>
                <a:schemeClr val="accent1">
                  <a:lumMod val="75000"/>
                </a:schemeClr>
              </a:solidFill>
              <a:latin typeface="PT Sans" pitchFamily="34" charset="0"/>
              <a:cs typeface="Times New Roman"/>
            </a:rPr>
            <a:pPr/>
            <a:t>3/8'</a:t>
          </a:fld>
          <a:endParaRPr lang="fr-FR" sz="1200" b="1">
            <a:solidFill>
              <a:schemeClr val="accent1">
                <a:lumMod val="75000"/>
              </a:schemeClr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444737</xdr:colOff>
      <xdr:row>15</xdr:row>
      <xdr:rowOff>39551</xdr:rowOff>
    </xdr:from>
    <xdr:to>
      <xdr:col>11</xdr:col>
      <xdr:colOff>282488</xdr:colOff>
      <xdr:row>16</xdr:row>
      <xdr:rowOff>40377</xdr:rowOff>
    </xdr:to>
    <xdr:sp macro="" textlink="$AB$32">
      <xdr:nvSpPr>
        <xdr:cNvPr id="12" name="ZoneTexte 11"/>
        <xdr:cNvSpPr txBox="1"/>
      </xdr:nvSpPr>
      <xdr:spPr>
        <a:xfrm>
          <a:off x="7714217" y="2897051"/>
          <a:ext cx="475837" cy="191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D83B5D3-E33E-44F1-BE99-A975EACA5A17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222971</xdr:colOff>
      <xdr:row>13</xdr:row>
      <xdr:rowOff>183252</xdr:rowOff>
    </xdr:from>
    <xdr:to>
      <xdr:col>11</xdr:col>
      <xdr:colOff>348652</xdr:colOff>
      <xdr:row>15</xdr:row>
      <xdr:rowOff>0</xdr:rowOff>
    </xdr:to>
    <xdr:sp macro="" textlink="$AC$32">
      <xdr:nvSpPr>
        <xdr:cNvPr id="13" name="ZoneTexte 12"/>
        <xdr:cNvSpPr txBox="1"/>
      </xdr:nvSpPr>
      <xdr:spPr>
        <a:xfrm>
          <a:off x="7492451" y="2659752"/>
          <a:ext cx="765724" cy="197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55C3B03-63D5-490B-813D-ECAC30C21FF8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25,4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13682</xdr:colOff>
      <xdr:row>8</xdr:row>
      <xdr:rowOff>111824</xdr:rowOff>
    </xdr:from>
    <xdr:to>
      <xdr:col>0</xdr:col>
      <xdr:colOff>263279</xdr:colOff>
      <xdr:row>10</xdr:row>
      <xdr:rowOff>167120</xdr:rowOff>
    </xdr:to>
    <xdr:sp macro="" textlink="$W$32">
      <xdr:nvSpPr>
        <xdr:cNvPr id="14" name="ZoneTexte 13"/>
        <xdr:cNvSpPr txBox="1"/>
      </xdr:nvSpPr>
      <xdr:spPr>
        <a:xfrm rot="16200000">
          <a:off x="-82397" y="1731903"/>
          <a:ext cx="443950" cy="251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D388C67D-CFC2-4911-AE21-9BD34055BD1E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60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484287</xdr:colOff>
      <xdr:row>14</xdr:row>
      <xdr:rowOff>161926</xdr:rowOff>
    </xdr:from>
    <xdr:to>
      <xdr:col>3</xdr:col>
      <xdr:colOff>622913</xdr:colOff>
      <xdr:row>16</xdr:row>
      <xdr:rowOff>75373</xdr:rowOff>
    </xdr:to>
    <xdr:sp macro="" textlink="$AC$32">
      <xdr:nvSpPr>
        <xdr:cNvPr id="15" name="ZoneTexte 14"/>
        <xdr:cNvSpPr txBox="1"/>
      </xdr:nvSpPr>
      <xdr:spPr>
        <a:xfrm>
          <a:off x="1781592" y="2828926"/>
          <a:ext cx="1047333" cy="2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4C84C902-EF2D-4FC3-85E4-784F89E621F3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25,4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521970</xdr:colOff>
      <xdr:row>1</xdr:row>
      <xdr:rowOff>113058</xdr:rowOff>
    </xdr:from>
    <xdr:to>
      <xdr:col>1</xdr:col>
      <xdr:colOff>331472</xdr:colOff>
      <xdr:row>2</xdr:row>
      <xdr:rowOff>159440</xdr:rowOff>
    </xdr:to>
    <xdr:sp macro="" textlink="$AA$32">
      <xdr:nvSpPr>
        <xdr:cNvPr id="16" name="ZoneTexte 15"/>
        <xdr:cNvSpPr txBox="1"/>
      </xdr:nvSpPr>
      <xdr:spPr>
        <a:xfrm>
          <a:off x="523875" y="303558"/>
          <a:ext cx="457202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0773055-8297-47B0-BE29-5B3BE496B37C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589474</xdr:colOff>
      <xdr:row>1</xdr:row>
      <xdr:rowOff>121340</xdr:rowOff>
    </xdr:from>
    <xdr:to>
      <xdr:col>3</xdr:col>
      <xdr:colOff>659764</xdr:colOff>
      <xdr:row>2</xdr:row>
      <xdr:rowOff>161523</xdr:rowOff>
    </xdr:to>
    <xdr:sp macro="" textlink="$X$32">
      <xdr:nvSpPr>
        <xdr:cNvPr id="17" name="ZoneTexte 16"/>
        <xdr:cNvSpPr txBox="1"/>
      </xdr:nvSpPr>
      <xdr:spPr>
        <a:xfrm>
          <a:off x="1239079" y="311840"/>
          <a:ext cx="162670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2CDA16E-1567-4126-954C-2B1266AA6F73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53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834391</xdr:colOff>
      <xdr:row>1</xdr:row>
      <xdr:rowOff>122002</xdr:rowOff>
    </xdr:from>
    <xdr:to>
      <xdr:col>9</xdr:col>
      <xdr:colOff>9470</xdr:colOff>
      <xdr:row>2</xdr:row>
      <xdr:rowOff>168384</xdr:rowOff>
    </xdr:to>
    <xdr:sp macro="" textlink="$Y$32">
      <xdr:nvSpPr>
        <xdr:cNvPr id="18" name="ZoneTexte 17"/>
        <xdr:cNvSpPr txBox="1"/>
      </xdr:nvSpPr>
      <xdr:spPr>
        <a:xfrm>
          <a:off x="5734051" y="320122"/>
          <a:ext cx="1162050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1A04818-BF09-41CF-9A3C-4C2C58EEBB20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1088586</xdr:colOff>
      <xdr:row>1</xdr:row>
      <xdr:rowOff>122583</xdr:rowOff>
    </xdr:from>
    <xdr:to>
      <xdr:col>10</xdr:col>
      <xdr:colOff>219394</xdr:colOff>
      <xdr:row>2</xdr:row>
      <xdr:rowOff>161562</xdr:rowOff>
    </xdr:to>
    <xdr:sp macro="" textlink="$Z$32">
      <xdr:nvSpPr>
        <xdr:cNvPr id="19" name="ZoneTexte 18" descr="96"/>
        <xdr:cNvSpPr txBox="1"/>
      </xdr:nvSpPr>
      <xdr:spPr>
        <a:xfrm>
          <a:off x="6849306" y="313083"/>
          <a:ext cx="637344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395C027-C4A9-4A38-BA08-4DEF1D085CFC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56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11</xdr:col>
      <xdr:colOff>510540</xdr:colOff>
      <xdr:row>8</xdr:row>
      <xdr:rowOff>86553</xdr:rowOff>
    </xdr:from>
    <xdr:to>
      <xdr:col>12</xdr:col>
      <xdr:colOff>917</xdr:colOff>
      <xdr:row>11</xdr:row>
      <xdr:rowOff>67503</xdr:rowOff>
    </xdr:to>
    <xdr:sp macro="" textlink="$AD$32">
      <xdr:nvSpPr>
        <xdr:cNvPr id="21" name="ZoneTexte 20"/>
        <xdr:cNvSpPr txBox="1"/>
      </xdr:nvSpPr>
      <xdr:spPr>
        <a:xfrm rot="16200000">
          <a:off x="8254034" y="1776619"/>
          <a:ext cx="552450" cy="220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9E8DA3B-ABE9-4747-BB34-591299898F4F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45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306727</xdr:colOff>
      <xdr:row>3</xdr:row>
      <xdr:rowOff>98873</xdr:rowOff>
    </xdr:from>
    <xdr:to>
      <xdr:col>8</xdr:col>
      <xdr:colOff>598668</xdr:colOff>
      <xdr:row>6</xdr:row>
      <xdr:rowOff>71540</xdr:rowOff>
    </xdr:to>
    <xdr:sp macro="" textlink="$AF$32">
      <xdr:nvSpPr>
        <xdr:cNvPr id="22" name="ZoneTexte 21"/>
        <xdr:cNvSpPr txBox="1"/>
      </xdr:nvSpPr>
      <xdr:spPr>
        <a:xfrm rot="16200000">
          <a:off x="6050395" y="796486"/>
          <a:ext cx="544167" cy="291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71E0EBB-C576-4DDF-9B4E-F00F18CA9CD7}" type="TxLink">
            <a:rPr lang="en-US" sz="1200" b="1" i="0" u="none" strike="noStrike">
              <a:solidFill>
                <a:schemeClr val="accent1">
                  <a:lumMod val="75000"/>
                </a:schemeClr>
              </a:solidFill>
              <a:latin typeface="PT Sans" pitchFamily="34" charset="0"/>
              <a:cs typeface="Times New Roman"/>
            </a:rPr>
            <a:pPr/>
            <a:t>15</a:t>
          </a:fld>
          <a:endParaRPr lang="fr-FR" sz="1200" b="1">
            <a:solidFill>
              <a:schemeClr val="accent1">
                <a:lumMod val="75000"/>
              </a:schemeClr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613243</xdr:colOff>
      <xdr:row>14</xdr:row>
      <xdr:rowOff>104776</xdr:rowOff>
    </xdr:from>
    <xdr:to>
      <xdr:col>9</xdr:col>
      <xdr:colOff>122202</xdr:colOff>
      <xdr:row>15</xdr:row>
      <xdr:rowOff>149502</xdr:rowOff>
    </xdr:to>
    <xdr:sp macro="" textlink="$R$98">
      <xdr:nvSpPr>
        <xdr:cNvPr id="33" name="ZoneTexte 32"/>
        <xdr:cNvSpPr txBox="1"/>
      </xdr:nvSpPr>
      <xdr:spPr>
        <a:xfrm>
          <a:off x="5141428" y="2771776"/>
          <a:ext cx="819566" cy="235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6DC5403-67FE-410C-A55A-61F5E3E8E187}" type="TxLink">
            <a:rPr lang="fr-FR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2454</a:t>
          </a:fld>
          <a:endParaRPr lang="fr-FR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625500</xdr:colOff>
      <xdr:row>16</xdr:row>
      <xdr:rowOff>125317</xdr:rowOff>
    </xdr:from>
    <xdr:to>
      <xdr:col>9</xdr:col>
      <xdr:colOff>151534</xdr:colOff>
      <xdr:row>17</xdr:row>
      <xdr:rowOff>162588</xdr:rowOff>
    </xdr:to>
    <xdr:sp macro="" textlink="$W$98">
      <xdr:nvSpPr>
        <xdr:cNvPr id="34" name="ZoneTexte 33"/>
        <xdr:cNvSpPr txBox="1"/>
      </xdr:nvSpPr>
      <xdr:spPr>
        <a:xfrm>
          <a:off x="5161305" y="3180937"/>
          <a:ext cx="819566" cy="227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A8D0169A-AB50-4AF8-90EF-C933DE813ECB}" type="TxLink">
            <a:rPr lang="fr-FR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1252</a:t>
          </a:fld>
          <a:endParaRPr lang="fr-FR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513729</xdr:colOff>
      <xdr:row>8</xdr:row>
      <xdr:rowOff>80031</xdr:rowOff>
    </xdr:from>
    <xdr:to>
      <xdr:col>6</xdr:col>
      <xdr:colOff>409444</xdr:colOff>
      <xdr:row>9</xdr:row>
      <xdr:rowOff>187704</xdr:rowOff>
    </xdr:to>
    <xdr:sp macro="" textlink="$C$23">
      <xdr:nvSpPr>
        <xdr:cNvPr id="38" name="ZoneTexte 37"/>
        <xdr:cNvSpPr txBox="1"/>
      </xdr:nvSpPr>
      <xdr:spPr>
        <a:xfrm>
          <a:off x="4109417" y="1604031"/>
          <a:ext cx="681527" cy="298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ACC5E5BE-C640-4F2E-81B7-4188575792E5}" type="TxLink">
            <a:rPr lang="fr-FR" sz="1400" b="1" i="0" u="none" strike="noStrike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pPr/>
            <a:t>315</a:t>
          </a:fld>
          <a:endParaRPr lang="fr-FR" sz="1400" b="1">
            <a:solidFill>
              <a:schemeClr val="tx2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405288</xdr:colOff>
      <xdr:row>8</xdr:row>
      <xdr:rowOff>83654</xdr:rowOff>
    </xdr:from>
    <xdr:to>
      <xdr:col>7</xdr:col>
      <xdr:colOff>107156</xdr:colOff>
      <xdr:row>10</xdr:row>
      <xdr:rowOff>0</xdr:rowOff>
    </xdr:to>
    <xdr:sp macro="" textlink="">
      <xdr:nvSpPr>
        <xdr:cNvPr id="39" name="ZoneTexte 38"/>
        <xdr:cNvSpPr txBox="1"/>
      </xdr:nvSpPr>
      <xdr:spPr>
        <a:xfrm>
          <a:off x="3358038" y="1607654"/>
          <a:ext cx="1773556" cy="297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  <a:r>
            <a:rPr lang="fr-FR" sz="14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                </a:t>
          </a:r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8</xdr:col>
      <xdr:colOff>189583</xdr:colOff>
      <xdr:row>21</xdr:row>
      <xdr:rowOff>202406</xdr:rowOff>
    </xdr:from>
    <xdr:to>
      <xdr:col>8</xdr:col>
      <xdr:colOff>952501</xdr:colOff>
      <xdr:row>24</xdr:row>
      <xdr:rowOff>204787</xdr:rowOff>
    </xdr:to>
    <xdr:sp macro="" textlink="">
      <xdr:nvSpPr>
        <xdr:cNvPr id="40" name="Organigramme : Disque magnétique 39"/>
        <xdr:cNvSpPr/>
      </xdr:nvSpPr>
      <xdr:spPr>
        <a:xfrm>
          <a:off x="6059364" y="4202906"/>
          <a:ext cx="762918" cy="692944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>
            <a:latin typeface="PT Sans" pitchFamily="34" charset="0"/>
          </a:endParaRPr>
        </a:p>
      </xdr:txBody>
    </xdr:sp>
    <xdr:clientData/>
  </xdr:twoCellAnchor>
  <xdr:twoCellAnchor>
    <xdr:from>
      <xdr:col>8</xdr:col>
      <xdr:colOff>284068</xdr:colOff>
      <xdr:row>21</xdr:row>
      <xdr:rowOff>161037</xdr:rowOff>
    </xdr:from>
    <xdr:to>
      <xdr:col>8</xdr:col>
      <xdr:colOff>931992</xdr:colOff>
      <xdr:row>22</xdr:row>
      <xdr:rowOff>128111</xdr:rowOff>
    </xdr:to>
    <xdr:sp macro="" textlink="">
      <xdr:nvSpPr>
        <xdr:cNvPr id="41" name="ZoneTexte 40"/>
        <xdr:cNvSpPr txBox="1"/>
      </xdr:nvSpPr>
      <xdr:spPr>
        <a:xfrm>
          <a:off x="6153849" y="4161537"/>
          <a:ext cx="647924" cy="2290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10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9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97631</xdr:colOff>
      <xdr:row>23</xdr:row>
      <xdr:rowOff>53530</xdr:rowOff>
    </xdr:from>
    <xdr:to>
      <xdr:col>8</xdr:col>
      <xdr:colOff>824493</xdr:colOff>
      <xdr:row>30</xdr:row>
      <xdr:rowOff>83345</xdr:rowOff>
    </xdr:to>
    <xdr:sp macro="" textlink="AH32">
      <xdr:nvSpPr>
        <xdr:cNvPr id="42" name="ZoneTexte 41"/>
        <xdr:cNvSpPr txBox="1"/>
      </xdr:nvSpPr>
      <xdr:spPr>
        <a:xfrm flipH="1">
          <a:off x="5967412" y="4530280"/>
          <a:ext cx="726862" cy="45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86121B23-34B4-4F46-8CAC-60CAB309F31D}" type="TxLink">
            <a:rPr lang="en-US" sz="1400" b="1" i="0" u="none" strike="noStrike">
              <a:solidFill>
                <a:schemeClr val="bg1"/>
              </a:solidFill>
              <a:latin typeface="Times New Roman"/>
              <a:cs typeface="Times New Roman"/>
            </a:rPr>
            <a:pPr algn="ctr"/>
            <a:t>8,0</a:t>
          </a:fld>
          <a:endParaRPr lang="fr-FR" sz="1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613665</xdr:colOff>
      <xdr:row>23</xdr:row>
      <xdr:rowOff>47334</xdr:rowOff>
    </xdr:from>
    <xdr:to>
      <xdr:col>8</xdr:col>
      <xdr:colOff>1059657</xdr:colOff>
      <xdr:row>30</xdr:row>
      <xdr:rowOff>54768</xdr:rowOff>
    </xdr:to>
    <xdr:sp macro="" textlink="">
      <xdr:nvSpPr>
        <xdr:cNvPr id="43" name="ZoneTexte 42"/>
        <xdr:cNvSpPr txBox="1"/>
      </xdr:nvSpPr>
      <xdr:spPr>
        <a:xfrm>
          <a:off x="6483446" y="4524084"/>
          <a:ext cx="445992" cy="436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3</xdr:col>
      <xdr:colOff>558641</xdr:colOff>
      <xdr:row>13</xdr:row>
      <xdr:rowOff>83344</xdr:rowOff>
    </xdr:from>
    <xdr:to>
      <xdr:col>7</xdr:col>
      <xdr:colOff>583733</xdr:colOff>
      <xdr:row>16</xdr:row>
      <xdr:rowOff>95249</xdr:rowOff>
    </xdr:to>
    <xdr:sp macro="" textlink="">
      <xdr:nvSpPr>
        <xdr:cNvPr id="50" name="Flèche droite 49"/>
        <xdr:cNvSpPr/>
      </xdr:nvSpPr>
      <xdr:spPr>
        <a:xfrm>
          <a:off x="2761297" y="2559844"/>
          <a:ext cx="2846874" cy="583405"/>
        </a:xfrm>
        <a:prstGeom prst="rightArrow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oneCellAnchor>
    <xdr:from>
      <xdr:col>4</xdr:col>
      <xdr:colOff>427196</xdr:colOff>
      <xdr:row>14</xdr:row>
      <xdr:rowOff>2381</xdr:rowOff>
    </xdr:from>
    <xdr:ext cx="2603097" cy="295275"/>
    <xdr:sp macro="" textlink="">
      <xdr:nvSpPr>
        <xdr:cNvPr id="51" name="Rectangle 50"/>
        <xdr:cNvSpPr/>
      </xdr:nvSpPr>
      <xdr:spPr>
        <a:xfrm>
          <a:off x="3379946" y="2669381"/>
          <a:ext cx="2603097" cy="295275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PT Sans" pitchFamily="34" charset="0"/>
              <a:cs typeface="Times New Roman" pitchFamily="18" charset="0"/>
            </a:rPr>
            <a:t>Force en </a:t>
          </a:r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poussant</a:t>
          </a:r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PT Sans" pitchFamily="34" charset="0"/>
              <a:cs typeface="Times New Roman" pitchFamily="18" charset="0"/>
            </a:rPr>
            <a:t> </a:t>
          </a:r>
        </a:p>
      </xdr:txBody>
    </xdr:sp>
    <xdr:clientData/>
  </xdr:oneCellAnchor>
  <xdr:oneCellAnchor>
    <xdr:from>
      <xdr:col>4</xdr:col>
      <xdr:colOff>140494</xdr:colOff>
      <xdr:row>16</xdr:row>
      <xdr:rowOff>147638</xdr:rowOff>
    </xdr:from>
    <xdr:ext cx="2302775" cy="233322"/>
    <xdr:sp macro="" textlink="">
      <xdr:nvSpPr>
        <xdr:cNvPr id="53" name="Rectangle 52"/>
        <xdr:cNvSpPr/>
      </xdr:nvSpPr>
      <xdr:spPr>
        <a:xfrm>
          <a:off x="3093244" y="3195638"/>
          <a:ext cx="2302775" cy="233322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 baseline="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</a:t>
          </a:r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 en tirant </a:t>
          </a:r>
        </a:p>
      </xdr:txBody>
    </xdr:sp>
    <xdr:clientData/>
  </xdr:oneCellAnchor>
  <xdr:twoCellAnchor>
    <xdr:from>
      <xdr:col>8</xdr:col>
      <xdr:colOff>421503</xdr:colOff>
      <xdr:row>14</xdr:row>
      <xdr:rowOff>114300</xdr:rowOff>
    </xdr:from>
    <xdr:to>
      <xdr:col>10</xdr:col>
      <xdr:colOff>9564</xdr:colOff>
      <xdr:row>15</xdr:row>
      <xdr:rowOff>114300</xdr:rowOff>
    </xdr:to>
    <xdr:sp macro="" textlink="">
      <xdr:nvSpPr>
        <xdr:cNvPr id="57" name="ZoneTexte 56"/>
        <xdr:cNvSpPr txBox="1"/>
      </xdr:nvSpPr>
      <xdr:spPr>
        <a:xfrm>
          <a:off x="5911713" y="2781300"/>
          <a:ext cx="1098687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 </a:t>
          </a:r>
        </a:p>
      </xdr:txBody>
    </xdr:sp>
    <xdr:clientData/>
  </xdr:twoCellAnchor>
  <xdr:twoCellAnchor>
    <xdr:from>
      <xdr:col>8</xdr:col>
      <xdr:colOff>401459</xdr:colOff>
      <xdr:row>16</xdr:row>
      <xdr:rowOff>125730</xdr:rowOff>
    </xdr:from>
    <xdr:to>
      <xdr:col>9</xdr:col>
      <xdr:colOff>369570</xdr:colOff>
      <xdr:row>17</xdr:row>
      <xdr:rowOff>125729</xdr:rowOff>
    </xdr:to>
    <xdr:sp macro="" textlink="">
      <xdr:nvSpPr>
        <xdr:cNvPr id="59" name="ZoneTexte 58"/>
        <xdr:cNvSpPr txBox="1"/>
      </xdr:nvSpPr>
      <xdr:spPr>
        <a:xfrm>
          <a:off x="5889764" y="3181350"/>
          <a:ext cx="110158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 </a:t>
          </a:r>
        </a:p>
      </xdr:txBody>
    </xdr:sp>
    <xdr:clientData/>
  </xdr:twoCellAnchor>
  <xdr:twoCellAnchor>
    <xdr:from>
      <xdr:col>4</xdr:col>
      <xdr:colOff>588645</xdr:colOff>
      <xdr:row>7</xdr:row>
      <xdr:rowOff>104775</xdr:rowOff>
    </xdr:from>
    <xdr:to>
      <xdr:col>5</xdr:col>
      <xdr:colOff>464910</xdr:colOff>
      <xdr:row>9</xdr:row>
      <xdr:rowOff>19051</xdr:rowOff>
    </xdr:to>
    <xdr:sp macro="" textlink="$U$97">
      <xdr:nvSpPr>
        <xdr:cNvPr id="60" name="ZoneTexte 59"/>
        <xdr:cNvSpPr txBox="1"/>
      </xdr:nvSpPr>
      <xdr:spPr>
        <a:xfrm>
          <a:off x="3219450" y="1438275"/>
          <a:ext cx="56197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552DC3B-3F38-4DD1-9268-BD6B34C9E8E1}" type="TxLink">
            <a:rPr lang="fr-FR" sz="11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/>
            <a:t>0,32</a:t>
          </a:fld>
          <a:endParaRPr lang="fr-FR" sz="11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321945</xdr:colOff>
      <xdr:row>7</xdr:row>
      <xdr:rowOff>104775</xdr:rowOff>
    </xdr:from>
    <xdr:to>
      <xdr:col>6</xdr:col>
      <xdr:colOff>472494</xdr:colOff>
      <xdr:row>9</xdr:row>
      <xdr:rowOff>19051</xdr:rowOff>
    </xdr:to>
    <xdr:sp macro="" textlink="">
      <xdr:nvSpPr>
        <xdr:cNvPr id="61" name="ZoneTexte 60"/>
        <xdr:cNvSpPr txBox="1"/>
      </xdr:nvSpPr>
      <xdr:spPr>
        <a:xfrm>
          <a:off x="3648075" y="1438275"/>
          <a:ext cx="628650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3</xdr:col>
      <xdr:colOff>398146</xdr:colOff>
      <xdr:row>5</xdr:row>
      <xdr:rowOff>123825</xdr:rowOff>
    </xdr:from>
    <xdr:to>
      <xdr:col>4</xdr:col>
      <xdr:colOff>450534</xdr:colOff>
      <xdr:row>7</xdr:row>
      <xdr:rowOff>9525</xdr:rowOff>
    </xdr:to>
    <xdr:sp macro="" textlink="$R$97">
      <xdr:nvSpPr>
        <xdr:cNvPr id="65" name="ZoneTexte 64"/>
        <xdr:cNvSpPr txBox="1"/>
      </xdr:nvSpPr>
      <xdr:spPr>
        <a:xfrm>
          <a:off x="2457451" y="1076325"/>
          <a:ext cx="623888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F40B186-B0DD-46AC-BCB1-99B0B3A7B56A}" type="TxLink">
            <a:rPr lang="fr-FR" sz="11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0,62</a:t>
          </a:fld>
          <a:endParaRPr lang="fr-FR" sz="11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198120</xdr:colOff>
      <xdr:row>5</xdr:row>
      <xdr:rowOff>123825</xdr:rowOff>
    </xdr:from>
    <xdr:to>
      <xdr:col>5</xdr:col>
      <xdr:colOff>207716</xdr:colOff>
      <xdr:row>7</xdr:row>
      <xdr:rowOff>9525</xdr:rowOff>
    </xdr:to>
    <xdr:sp macro="" textlink="">
      <xdr:nvSpPr>
        <xdr:cNvPr id="66" name="ZoneTexte 65"/>
        <xdr:cNvSpPr txBox="1"/>
      </xdr:nvSpPr>
      <xdr:spPr>
        <a:xfrm>
          <a:off x="2790825" y="1076325"/>
          <a:ext cx="647700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2</xdr:col>
      <xdr:colOff>472440</xdr:colOff>
      <xdr:row>6</xdr:row>
      <xdr:rowOff>152400</xdr:rowOff>
    </xdr:from>
    <xdr:to>
      <xdr:col>3</xdr:col>
      <xdr:colOff>407705</xdr:colOff>
      <xdr:row>8</xdr:row>
      <xdr:rowOff>38100</xdr:rowOff>
    </xdr:to>
    <xdr:cxnSp macro="">
      <xdr:nvCxnSpPr>
        <xdr:cNvPr id="68" name="Connecteur droit avec flèche 67"/>
        <xdr:cNvCxnSpPr/>
      </xdr:nvCxnSpPr>
      <xdr:spPr>
        <a:xfrm flipH="1">
          <a:off x="1762125" y="1295400"/>
          <a:ext cx="857252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176008</xdr:colOff>
      <xdr:row>3</xdr:row>
      <xdr:rowOff>186774</xdr:rowOff>
    </xdr:from>
    <xdr:to>
      <xdr:col>6</xdr:col>
      <xdr:colOff>310800</xdr:colOff>
      <xdr:row>5</xdr:row>
      <xdr:rowOff>42656</xdr:rowOff>
    </xdr:to>
    <xdr:sp macro="" textlink="">
      <xdr:nvSpPr>
        <xdr:cNvPr id="45" name="ZoneTexte 44"/>
        <xdr:cNvSpPr txBox="1"/>
      </xdr:nvSpPr>
      <xdr:spPr>
        <a:xfrm>
          <a:off x="3519283" y="758274"/>
          <a:ext cx="784362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>
    <xdr:from>
      <xdr:col>5</xdr:col>
      <xdr:colOff>577215</xdr:colOff>
      <xdr:row>0</xdr:row>
      <xdr:rowOff>28575</xdr:rowOff>
    </xdr:from>
    <xdr:to>
      <xdr:col>7</xdr:col>
      <xdr:colOff>60441</xdr:colOff>
      <xdr:row>1</xdr:row>
      <xdr:rowOff>74957</xdr:rowOff>
    </xdr:to>
    <xdr:sp macro="" textlink="$V$32">
      <xdr:nvSpPr>
        <xdr:cNvPr id="44" name="ZoneTexte 43"/>
        <xdr:cNvSpPr txBox="1"/>
      </xdr:nvSpPr>
      <xdr:spPr>
        <a:xfrm>
          <a:off x="4181475" y="28575"/>
          <a:ext cx="784362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DCA9435-0BD1-415D-A611-968FCFDFB203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515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10</xdr:row>
      <xdr:rowOff>38100</xdr:rowOff>
    </xdr:from>
    <xdr:to>
      <xdr:col>0</xdr:col>
      <xdr:colOff>314325</xdr:colOff>
      <xdr:row>12</xdr:row>
      <xdr:rowOff>19050</xdr:rowOff>
    </xdr:to>
    <xdr:pic>
      <xdr:nvPicPr>
        <xdr:cNvPr id="575298" name="Image 4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1943100"/>
          <a:ext cx="295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255270</xdr:colOff>
      <xdr:row>15</xdr:row>
      <xdr:rowOff>19050</xdr:rowOff>
    </xdr:from>
    <xdr:to>
      <xdr:col>11</xdr:col>
      <xdr:colOff>245818</xdr:colOff>
      <xdr:row>16</xdr:row>
      <xdr:rowOff>76200</xdr:rowOff>
    </xdr:to>
    <xdr:sp macro="" textlink="">
      <xdr:nvSpPr>
        <xdr:cNvPr id="49" name="ZoneTexte 48"/>
        <xdr:cNvSpPr txBox="1"/>
      </xdr:nvSpPr>
      <xdr:spPr>
        <a:xfrm>
          <a:off x="7524750" y="2876550"/>
          <a:ext cx="628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accent1">
                  <a:lumMod val="50000"/>
                </a:schemeClr>
              </a:solidFill>
            </a:rPr>
            <a:t>Ø</a:t>
          </a:r>
        </a:p>
      </xdr:txBody>
    </xdr:sp>
    <xdr:clientData/>
  </xdr:twoCellAnchor>
  <xdr:twoCellAnchor>
    <xdr:from>
      <xdr:col>2</xdr:col>
      <xdr:colOff>312420</xdr:colOff>
      <xdr:row>14</xdr:row>
      <xdr:rowOff>142875</xdr:rowOff>
    </xdr:from>
    <xdr:to>
      <xdr:col>3</xdr:col>
      <xdr:colOff>321945</xdr:colOff>
      <xdr:row>16</xdr:row>
      <xdr:rowOff>9525</xdr:rowOff>
    </xdr:to>
    <xdr:sp macro="" textlink="">
      <xdr:nvSpPr>
        <xdr:cNvPr id="52" name="ZoneTexte 51"/>
        <xdr:cNvSpPr txBox="1"/>
      </xdr:nvSpPr>
      <xdr:spPr>
        <a:xfrm>
          <a:off x="1609725" y="2809875"/>
          <a:ext cx="9239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accent1">
                  <a:lumMod val="50000"/>
                </a:schemeClr>
              </a:solidFill>
            </a:rPr>
            <a:t>Ø</a:t>
          </a:r>
        </a:p>
      </xdr:txBody>
    </xdr:sp>
    <xdr:clientData/>
  </xdr:twoCellAnchor>
  <xdr:twoCellAnchor>
    <xdr:from>
      <xdr:col>2</xdr:col>
      <xdr:colOff>503396</xdr:colOff>
      <xdr:row>10</xdr:row>
      <xdr:rowOff>100012</xdr:rowOff>
    </xdr:from>
    <xdr:to>
      <xdr:col>7</xdr:col>
      <xdr:colOff>410052</xdr:colOff>
      <xdr:row>13</xdr:row>
      <xdr:rowOff>14287</xdr:rowOff>
    </xdr:to>
    <xdr:sp macro="" textlink="$A$32">
      <xdr:nvSpPr>
        <xdr:cNvPr id="47" name="ZoneTexte 46"/>
        <xdr:cNvSpPr txBox="1"/>
      </xdr:nvSpPr>
      <xdr:spPr>
        <a:xfrm>
          <a:off x="1789271" y="2005012"/>
          <a:ext cx="364521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32A184E-3BCC-4C7F-94E0-36E3DC8F0064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Températures de fonctionnement -20 à 90 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488156</xdr:colOff>
      <xdr:row>32</xdr:row>
      <xdr:rowOff>214312</xdr:rowOff>
    </xdr:from>
    <xdr:to>
      <xdr:col>6</xdr:col>
      <xdr:colOff>333376</xdr:colOff>
      <xdr:row>35</xdr:row>
      <xdr:rowOff>23813</xdr:rowOff>
    </xdr:to>
    <xdr:sp macro="" textlink="">
      <xdr:nvSpPr>
        <xdr:cNvPr id="48" name="Rectangle à coins arrondis 47">
          <a:hlinkClick xmlns:r="http://schemas.openxmlformats.org/officeDocument/2006/relationships" r:id="rId3"/>
        </xdr:cNvPr>
        <xdr:cNvSpPr/>
      </xdr:nvSpPr>
      <xdr:spPr>
        <a:xfrm>
          <a:off x="488156" y="5524500"/>
          <a:ext cx="4083845" cy="523876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 editAs="oneCell">
    <xdr:from>
      <xdr:col>8</xdr:col>
      <xdr:colOff>59531</xdr:colOff>
      <xdr:row>32</xdr:row>
      <xdr:rowOff>238123</xdr:rowOff>
    </xdr:from>
    <xdr:to>
      <xdr:col>9</xdr:col>
      <xdr:colOff>367218</xdr:colOff>
      <xdr:row>35</xdr:row>
      <xdr:rowOff>5374</xdr:rowOff>
    </xdr:to>
    <xdr:pic>
      <xdr:nvPicPr>
        <xdr:cNvPr id="54" name="Image 53" descr="Logo-Luce-Hydr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86437" y="5548311"/>
          <a:ext cx="1438781" cy="481626"/>
        </a:xfrm>
        <a:prstGeom prst="rect">
          <a:avLst/>
        </a:prstGeom>
      </xdr:spPr>
    </xdr:pic>
    <xdr:clientData/>
  </xdr:twoCellAnchor>
  <xdr:twoCellAnchor editAs="oneCell">
    <xdr:from>
      <xdr:col>10</xdr:col>
      <xdr:colOff>166686</xdr:colOff>
      <xdr:row>30</xdr:row>
      <xdr:rowOff>11906</xdr:rowOff>
    </xdr:from>
    <xdr:to>
      <xdr:col>12</xdr:col>
      <xdr:colOff>511966</xdr:colOff>
      <xdr:row>36</xdr:row>
      <xdr:rowOff>226218</xdr:rowOff>
    </xdr:to>
    <xdr:pic>
      <xdr:nvPicPr>
        <xdr:cNvPr id="55" name="Image 54" descr="logo_socah_hydraulique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05686" y="4881562"/>
          <a:ext cx="1607343" cy="16073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699137</xdr:colOff>
      <xdr:row>17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rcRect l="13344" t="13008" r="15529" b="21835"/>
        <a:stretch>
          <a:fillRect/>
        </a:stretch>
      </xdr:blipFill>
      <xdr:spPr>
        <a:xfrm>
          <a:off x="0" y="0"/>
          <a:ext cx="8353425" cy="35528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4</xdr:col>
      <xdr:colOff>743265</xdr:colOff>
      <xdr:row>1</xdr:row>
      <xdr:rowOff>123825</xdr:rowOff>
    </xdr:from>
    <xdr:to>
      <xdr:col>6</xdr:col>
      <xdr:colOff>10304</xdr:colOff>
      <xdr:row>2</xdr:row>
      <xdr:rowOff>171544</xdr:rowOff>
    </xdr:to>
    <xdr:sp macro="" textlink="$U$32">
      <xdr:nvSpPr>
        <xdr:cNvPr id="4" name="ZoneTexte 3"/>
        <xdr:cNvSpPr txBox="1"/>
      </xdr:nvSpPr>
      <xdr:spPr>
        <a:xfrm>
          <a:off x="3795075" y="333375"/>
          <a:ext cx="787262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D112A350-16E0-40BA-AFCB-1449FCDC8A20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441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520065</xdr:colOff>
      <xdr:row>3</xdr:row>
      <xdr:rowOff>10188</xdr:rowOff>
    </xdr:from>
    <xdr:to>
      <xdr:col>6</xdr:col>
      <xdr:colOff>289557</xdr:colOff>
      <xdr:row>4</xdr:row>
      <xdr:rowOff>47045</xdr:rowOff>
    </xdr:to>
    <xdr:sp macro="" textlink="$AD$32">
      <xdr:nvSpPr>
        <xdr:cNvPr id="5" name="ZoneTexte 4"/>
        <xdr:cNvSpPr txBox="1"/>
      </xdr:nvSpPr>
      <xdr:spPr>
        <a:xfrm>
          <a:off x="3571875" y="646458"/>
          <a:ext cx="1289590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5A5BB4C-FD94-49A2-8002-56B1AF6D274B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332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104777</xdr:colOff>
      <xdr:row>10</xdr:row>
      <xdr:rowOff>76200</xdr:rowOff>
    </xdr:from>
    <xdr:to>
      <xdr:col>0</xdr:col>
      <xdr:colOff>362750</xdr:colOff>
      <xdr:row>13</xdr:row>
      <xdr:rowOff>53377</xdr:rowOff>
    </xdr:to>
    <xdr:sp macro="" textlink="$X$32">
      <xdr:nvSpPr>
        <xdr:cNvPr id="6" name="ZoneTexte 5"/>
        <xdr:cNvSpPr txBox="1"/>
      </xdr:nvSpPr>
      <xdr:spPr>
        <a:xfrm rot="16200000">
          <a:off x="-77031" y="2353508"/>
          <a:ext cx="615407" cy="251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5FE54F8-3636-47AF-8BD2-E15304E7C7FD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115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138722</xdr:colOff>
      <xdr:row>3</xdr:row>
      <xdr:rowOff>29817</xdr:rowOff>
    </xdr:from>
    <xdr:to>
      <xdr:col>2</xdr:col>
      <xdr:colOff>260678</xdr:colOff>
      <xdr:row>4</xdr:row>
      <xdr:rowOff>66674</xdr:rowOff>
    </xdr:to>
    <xdr:sp macro="" textlink="$Y$32">
      <xdr:nvSpPr>
        <xdr:cNvPr id="7" name="ZoneTexte 6"/>
        <xdr:cNvSpPr txBox="1"/>
      </xdr:nvSpPr>
      <xdr:spPr>
        <a:xfrm>
          <a:off x="900722" y="658467"/>
          <a:ext cx="885825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CC5A7BB-AD5A-4550-9C77-18B5D237302B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42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431014</xdr:colOff>
      <xdr:row>3</xdr:row>
      <xdr:rowOff>190499</xdr:rowOff>
    </xdr:from>
    <xdr:to>
      <xdr:col>4</xdr:col>
      <xdr:colOff>13555</xdr:colOff>
      <xdr:row>5</xdr:row>
      <xdr:rowOff>11555</xdr:rowOff>
    </xdr:to>
    <xdr:sp macro="" textlink="$Q$126">
      <xdr:nvSpPr>
        <xdr:cNvPr id="8" name="ZoneTexte 7"/>
        <xdr:cNvSpPr txBox="1"/>
      </xdr:nvSpPr>
      <xdr:spPr>
        <a:xfrm>
          <a:off x="1263499" y="819149"/>
          <a:ext cx="126475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456655BD-C5DD-4448-8CE4-52FAC41CDB56}" type="TxLink">
            <a:rPr lang="fr-FR" sz="1200" b="1" i="0" u="none" strike="noStrike">
              <a:solidFill>
                <a:schemeClr val="accent1"/>
              </a:solidFill>
              <a:latin typeface="Times New Roman" pitchFamily="18" charset="0"/>
              <a:cs typeface="Times New Roman" pitchFamily="18" charset="0"/>
            </a:rPr>
            <a:pPr/>
            <a:t> </a:t>
          </a:fld>
          <a:endParaRPr lang="fr-FR" sz="1200" b="1">
            <a:solidFill>
              <a:schemeClr val="accent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104775</xdr:colOff>
      <xdr:row>3</xdr:row>
      <xdr:rowOff>8281</xdr:rowOff>
    </xdr:from>
    <xdr:to>
      <xdr:col>8</xdr:col>
      <xdr:colOff>634496</xdr:colOff>
      <xdr:row>4</xdr:row>
      <xdr:rowOff>45138</xdr:rowOff>
    </xdr:to>
    <xdr:sp macro="" textlink="$Z$32">
      <xdr:nvSpPr>
        <xdr:cNvPr id="9" name="ZoneTexte 8"/>
        <xdr:cNvSpPr txBox="1"/>
      </xdr:nvSpPr>
      <xdr:spPr>
        <a:xfrm>
          <a:off x="6153150" y="636931"/>
          <a:ext cx="533400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BEBDC5E-B0E1-42C7-A526-F04BB4F5480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67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2139801</xdr:colOff>
      <xdr:row>3</xdr:row>
      <xdr:rowOff>67917</xdr:rowOff>
    </xdr:from>
    <xdr:to>
      <xdr:col>8</xdr:col>
      <xdr:colOff>2694736</xdr:colOff>
      <xdr:row>4</xdr:row>
      <xdr:rowOff>104774</xdr:rowOff>
    </xdr:to>
    <xdr:sp macro="" textlink="$V$126">
      <xdr:nvSpPr>
        <xdr:cNvPr id="10" name="ZoneTexte 9"/>
        <xdr:cNvSpPr txBox="1"/>
      </xdr:nvSpPr>
      <xdr:spPr>
        <a:xfrm>
          <a:off x="6768951" y="696567"/>
          <a:ext cx="554935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469F713B-DF66-43C5-94FA-AAEE4E557538}" type="TxLink">
            <a:rPr lang="fr-FR" sz="1200" b="1" i="0" u="none" strike="noStrike">
              <a:solidFill>
                <a:schemeClr val="accent1"/>
              </a:solidFill>
              <a:latin typeface="Times New Roman" pitchFamily="18" charset="0"/>
              <a:cs typeface="Times New Roman" pitchFamily="18" charset="0"/>
            </a:rPr>
            <a:pPr/>
            <a:t> </a:t>
          </a:fld>
          <a:endParaRPr lang="fr-FR" sz="1200" b="1">
            <a:solidFill>
              <a:schemeClr val="accent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121921</xdr:colOff>
      <xdr:row>5</xdr:row>
      <xdr:rowOff>0</xdr:rowOff>
    </xdr:from>
    <xdr:to>
      <xdr:col>4</xdr:col>
      <xdr:colOff>698368</xdr:colOff>
      <xdr:row>6</xdr:row>
      <xdr:rowOff>38100</xdr:rowOff>
    </xdr:to>
    <xdr:sp macro="" textlink="AB32">
      <xdr:nvSpPr>
        <xdr:cNvPr id="12" name="ZoneTexte 11"/>
        <xdr:cNvSpPr txBox="1"/>
      </xdr:nvSpPr>
      <xdr:spPr>
        <a:xfrm>
          <a:off x="3171826" y="1047750"/>
          <a:ext cx="57854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96C54995-EECC-4626-85D7-2F73BF234147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3/8'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350524</xdr:colOff>
      <xdr:row>5</xdr:row>
      <xdr:rowOff>167969</xdr:rowOff>
    </xdr:from>
    <xdr:to>
      <xdr:col>8</xdr:col>
      <xdr:colOff>624840</xdr:colOff>
      <xdr:row>8</xdr:row>
      <xdr:rowOff>110178</xdr:rowOff>
    </xdr:to>
    <xdr:sp macro="" textlink="$AC$32">
      <xdr:nvSpPr>
        <xdr:cNvPr id="13" name="ZoneTexte 12"/>
        <xdr:cNvSpPr txBox="1"/>
      </xdr:nvSpPr>
      <xdr:spPr>
        <a:xfrm rot="16200000">
          <a:off x="6304931" y="1366837"/>
          <a:ext cx="553692" cy="266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60B1AE1-6C27-49A2-9341-F80D9DBCFAFB}" type="TxLink">
            <a:rPr lang="en-US" sz="1400" b="1" i="0" u="none" strike="noStrike">
              <a:solidFill>
                <a:schemeClr val="accent1">
                  <a:lumMod val="75000"/>
                </a:schemeClr>
              </a:solidFill>
              <a:latin typeface="PT Sans" pitchFamily="34" charset="0"/>
              <a:cs typeface="Times New Roman"/>
            </a:rPr>
            <a:pPr/>
            <a:t>15</a:t>
          </a:fld>
          <a:endParaRPr lang="fr-FR" sz="1400" b="1">
            <a:solidFill>
              <a:schemeClr val="accent1">
                <a:lumMod val="75000"/>
              </a:schemeClr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0</xdr:colOff>
      <xdr:row>6</xdr:row>
      <xdr:rowOff>149086</xdr:rowOff>
    </xdr:from>
    <xdr:to>
      <xdr:col>3</xdr:col>
      <xdr:colOff>634432</xdr:colOff>
      <xdr:row>8</xdr:row>
      <xdr:rowOff>496</xdr:rowOff>
    </xdr:to>
    <xdr:sp macro="" textlink="$R$126">
      <xdr:nvSpPr>
        <xdr:cNvPr id="14" name="ZoneTexte 13"/>
        <xdr:cNvSpPr txBox="1"/>
      </xdr:nvSpPr>
      <xdr:spPr>
        <a:xfrm>
          <a:off x="2286000" y="1406386"/>
          <a:ext cx="638175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A90F25B-0167-4933-A043-B5D0DD67FA54}" type="TxLink">
            <a:rPr lang="fr-FR" sz="11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2,16</a:t>
          </a:fld>
          <a:endParaRPr lang="fr-FR" sz="11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624841</xdr:colOff>
      <xdr:row>6</xdr:row>
      <xdr:rowOff>149086</xdr:rowOff>
    </xdr:from>
    <xdr:to>
      <xdr:col>4</xdr:col>
      <xdr:colOff>415290</xdr:colOff>
      <xdr:row>8</xdr:row>
      <xdr:rowOff>496</xdr:rowOff>
    </xdr:to>
    <xdr:sp macro="" textlink="">
      <xdr:nvSpPr>
        <xdr:cNvPr id="15" name="ZoneTexte 14"/>
        <xdr:cNvSpPr txBox="1"/>
      </xdr:nvSpPr>
      <xdr:spPr>
        <a:xfrm>
          <a:off x="2914651" y="1406386"/>
          <a:ext cx="552449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4</xdr:col>
      <xdr:colOff>486522</xdr:colOff>
      <xdr:row>5</xdr:row>
      <xdr:rowOff>2485</xdr:rowOff>
    </xdr:from>
    <xdr:to>
      <xdr:col>6</xdr:col>
      <xdr:colOff>17464</xdr:colOff>
      <xdr:row>6</xdr:row>
      <xdr:rowOff>39342</xdr:rowOff>
    </xdr:to>
    <xdr:sp macro="" textlink="">
      <xdr:nvSpPr>
        <xdr:cNvPr id="16" name="ZoneTexte 15"/>
        <xdr:cNvSpPr txBox="1"/>
      </xdr:nvSpPr>
      <xdr:spPr>
        <a:xfrm>
          <a:off x="3538332" y="1050235"/>
          <a:ext cx="1051062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>
    <xdr:from>
      <xdr:col>1</xdr:col>
      <xdr:colOff>447041</xdr:colOff>
      <xdr:row>7</xdr:row>
      <xdr:rowOff>67734</xdr:rowOff>
    </xdr:from>
    <xdr:to>
      <xdr:col>2</xdr:col>
      <xdr:colOff>741896</xdr:colOff>
      <xdr:row>10</xdr:row>
      <xdr:rowOff>20090</xdr:rowOff>
    </xdr:to>
    <xdr:cxnSp macro="">
      <xdr:nvCxnSpPr>
        <xdr:cNvPr id="17" name="Connecteur droit avec flèche 16"/>
        <xdr:cNvCxnSpPr/>
      </xdr:nvCxnSpPr>
      <xdr:spPr>
        <a:xfrm flipH="1">
          <a:off x="1243966" y="1430867"/>
          <a:ext cx="1101301" cy="53655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689610</xdr:colOff>
      <xdr:row>10</xdr:row>
      <xdr:rowOff>131279</xdr:rowOff>
    </xdr:from>
    <xdr:to>
      <xdr:col>8</xdr:col>
      <xdr:colOff>355536</xdr:colOff>
      <xdr:row>11</xdr:row>
      <xdr:rowOff>190675</xdr:rowOff>
    </xdr:to>
    <xdr:sp macro="" textlink="">
      <xdr:nvSpPr>
        <xdr:cNvPr id="19" name="ZoneTexte 18"/>
        <xdr:cNvSpPr txBox="1"/>
      </xdr:nvSpPr>
      <xdr:spPr>
        <a:xfrm>
          <a:off x="3733800" y="2122004"/>
          <a:ext cx="2671972" cy="26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  <a:r>
            <a:rPr lang="fr-FR" sz="14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             </a:t>
          </a:r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4</xdr:col>
      <xdr:colOff>188595</xdr:colOff>
      <xdr:row>9</xdr:row>
      <xdr:rowOff>114300</xdr:rowOff>
    </xdr:from>
    <xdr:to>
      <xdr:col>5</xdr:col>
      <xdr:colOff>19129</xdr:colOff>
      <xdr:row>11</xdr:row>
      <xdr:rowOff>1</xdr:rowOff>
    </xdr:to>
    <xdr:sp macro="" textlink="$X$126">
      <xdr:nvSpPr>
        <xdr:cNvPr id="20" name="ZoneTexte 19"/>
        <xdr:cNvSpPr txBox="1"/>
      </xdr:nvSpPr>
      <xdr:spPr>
        <a:xfrm>
          <a:off x="3238500" y="1914525"/>
          <a:ext cx="590550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81A7AE8-DE39-4C1E-8EBF-21CFA8255629}" type="TxLink">
            <a:rPr lang="fr-FR" sz="11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/>
            <a:t>0,78</a:t>
          </a:fld>
          <a:endParaRPr lang="fr-FR" sz="11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689610</xdr:colOff>
      <xdr:row>9</xdr:row>
      <xdr:rowOff>114300</xdr:rowOff>
    </xdr:from>
    <xdr:to>
      <xdr:col>6</xdr:col>
      <xdr:colOff>180944</xdr:colOff>
      <xdr:row>11</xdr:row>
      <xdr:rowOff>1</xdr:rowOff>
    </xdr:to>
    <xdr:sp macro="" textlink="">
      <xdr:nvSpPr>
        <xdr:cNvPr id="21" name="ZoneTexte 20"/>
        <xdr:cNvSpPr txBox="1"/>
      </xdr:nvSpPr>
      <xdr:spPr>
        <a:xfrm>
          <a:off x="3733800" y="1914525"/>
          <a:ext cx="1019175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5</xdr:col>
      <xdr:colOff>605790</xdr:colOff>
      <xdr:row>10</xdr:row>
      <xdr:rowOff>135255</xdr:rowOff>
    </xdr:from>
    <xdr:to>
      <xdr:col>7</xdr:col>
      <xdr:colOff>394</xdr:colOff>
      <xdr:row>12</xdr:row>
      <xdr:rowOff>14388</xdr:rowOff>
    </xdr:to>
    <xdr:sp macro="" textlink="$C$24">
      <xdr:nvSpPr>
        <xdr:cNvPr id="28" name="ZoneTexte 27"/>
        <xdr:cNvSpPr txBox="1"/>
      </xdr:nvSpPr>
      <xdr:spPr>
        <a:xfrm>
          <a:off x="4419600" y="2133600"/>
          <a:ext cx="800515" cy="288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6939F21-6474-4915-94BA-96D3008BCB4F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275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638080</xdr:colOff>
      <xdr:row>3</xdr:row>
      <xdr:rowOff>10186</xdr:rowOff>
    </xdr:from>
    <xdr:to>
      <xdr:col>10</xdr:col>
      <xdr:colOff>398190</xdr:colOff>
      <xdr:row>4</xdr:row>
      <xdr:rowOff>47043</xdr:rowOff>
    </xdr:to>
    <xdr:sp macro="" textlink="$AA$32">
      <xdr:nvSpPr>
        <xdr:cNvPr id="29" name="ZoneTexte 28"/>
        <xdr:cNvSpPr txBox="1"/>
      </xdr:nvSpPr>
      <xdr:spPr>
        <a:xfrm>
          <a:off x="7499890" y="646456"/>
          <a:ext cx="520159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D794175-DF26-4B4A-B9FD-72D9D5DFC9FA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14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377189</xdr:colOff>
      <xdr:row>18</xdr:row>
      <xdr:rowOff>19048</xdr:rowOff>
    </xdr:from>
    <xdr:to>
      <xdr:col>4</xdr:col>
      <xdr:colOff>727709</xdr:colOff>
      <xdr:row>19</xdr:row>
      <xdr:rowOff>154780</xdr:rowOff>
    </xdr:to>
    <xdr:sp macro="" textlink="">
      <xdr:nvSpPr>
        <xdr:cNvPr id="30" name="Flèche droite 29"/>
        <xdr:cNvSpPr/>
      </xdr:nvSpPr>
      <xdr:spPr>
        <a:xfrm rot="10800000">
          <a:off x="1901189" y="3662361"/>
          <a:ext cx="1874520" cy="338138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</xdr:col>
      <xdr:colOff>398144</xdr:colOff>
      <xdr:row>16</xdr:row>
      <xdr:rowOff>76200</xdr:rowOff>
    </xdr:from>
    <xdr:to>
      <xdr:col>5</xdr:col>
      <xdr:colOff>9464</xdr:colOff>
      <xdr:row>18</xdr:row>
      <xdr:rowOff>47625</xdr:rowOff>
    </xdr:to>
    <xdr:sp macro="" textlink="">
      <xdr:nvSpPr>
        <xdr:cNvPr id="31" name="Flèche droite 30"/>
        <xdr:cNvSpPr/>
      </xdr:nvSpPr>
      <xdr:spPr>
        <a:xfrm>
          <a:off x="1922144" y="3314700"/>
          <a:ext cx="1897320" cy="376238"/>
        </a:xfrm>
        <a:prstGeom prst="rightArrow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>
            <a:ln>
              <a:solidFill>
                <a:schemeClr val="bg1"/>
              </a:solidFill>
            </a:ln>
            <a:solidFill>
              <a:schemeClr val="bg1"/>
            </a:solidFill>
            <a:latin typeface="PT Sans" pitchFamily="34" charset="0"/>
          </a:endParaRPr>
        </a:p>
      </xdr:txBody>
    </xdr:sp>
    <xdr:clientData/>
  </xdr:twoCellAnchor>
  <xdr:oneCellAnchor>
    <xdr:from>
      <xdr:col>2</xdr:col>
      <xdr:colOff>434340</xdr:colOff>
      <xdr:row>16</xdr:row>
      <xdr:rowOff>112643</xdr:rowOff>
    </xdr:from>
    <xdr:ext cx="2588455" cy="304502"/>
    <xdr:sp macro="" textlink="">
      <xdr:nvSpPr>
        <xdr:cNvPr id="32" name="Rectangle 31"/>
        <xdr:cNvSpPr/>
      </xdr:nvSpPr>
      <xdr:spPr>
        <a:xfrm>
          <a:off x="1952625" y="3465443"/>
          <a:ext cx="2590800" cy="295275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1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 en poussant </a:t>
          </a:r>
        </a:p>
      </xdr:txBody>
    </xdr:sp>
    <xdr:clientData/>
  </xdr:oneCellAnchor>
  <xdr:oneCellAnchor>
    <xdr:from>
      <xdr:col>2</xdr:col>
      <xdr:colOff>662940</xdr:colOff>
      <xdr:row>18</xdr:row>
      <xdr:rowOff>35718</xdr:rowOff>
    </xdr:from>
    <xdr:ext cx="2312461" cy="262528"/>
    <xdr:sp macro="" textlink="">
      <xdr:nvSpPr>
        <xdr:cNvPr id="33" name="Rectangle 32"/>
        <xdr:cNvSpPr/>
      </xdr:nvSpPr>
      <xdr:spPr>
        <a:xfrm>
          <a:off x="2186940" y="3679031"/>
          <a:ext cx="2312461" cy="262528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100" b="0" cap="none" spc="150" baseline="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</a:t>
          </a:r>
          <a:r>
            <a:rPr lang="fr-FR" sz="11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 en tirant </a:t>
          </a:r>
        </a:p>
      </xdr:txBody>
    </xdr:sp>
    <xdr:clientData/>
  </xdr:oneCellAnchor>
  <xdr:twoCellAnchor>
    <xdr:from>
      <xdr:col>8</xdr:col>
      <xdr:colOff>157343</xdr:colOff>
      <xdr:row>22</xdr:row>
      <xdr:rowOff>142875</xdr:rowOff>
    </xdr:from>
    <xdr:to>
      <xdr:col>9</xdr:col>
      <xdr:colOff>258155</xdr:colOff>
      <xdr:row>26</xdr:row>
      <xdr:rowOff>69057</xdr:rowOff>
    </xdr:to>
    <xdr:sp macro="" textlink="">
      <xdr:nvSpPr>
        <xdr:cNvPr id="36" name="Organigramme : Disque magnétique 35"/>
        <xdr:cNvSpPr/>
      </xdr:nvSpPr>
      <xdr:spPr>
        <a:xfrm>
          <a:off x="6205718" y="4191000"/>
          <a:ext cx="946156" cy="735807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310285</xdr:colOff>
      <xdr:row>22</xdr:row>
      <xdr:rowOff>111444</xdr:rowOff>
    </xdr:from>
    <xdr:to>
      <xdr:col>9</xdr:col>
      <xdr:colOff>251046</xdr:colOff>
      <xdr:row>24</xdr:row>
      <xdr:rowOff>67510</xdr:rowOff>
    </xdr:to>
    <xdr:sp macro="" textlink="">
      <xdr:nvSpPr>
        <xdr:cNvPr id="37" name="ZoneTexte 36"/>
        <xdr:cNvSpPr txBox="1"/>
      </xdr:nvSpPr>
      <xdr:spPr>
        <a:xfrm>
          <a:off x="6358660" y="4159569"/>
          <a:ext cx="786105" cy="3608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20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9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64770</xdr:colOff>
      <xdr:row>24</xdr:row>
      <xdr:rowOff>63464</xdr:rowOff>
    </xdr:from>
    <xdr:to>
      <xdr:col>9</xdr:col>
      <xdr:colOff>67151</xdr:colOff>
      <xdr:row>26</xdr:row>
      <xdr:rowOff>45097</xdr:rowOff>
    </xdr:to>
    <xdr:sp macro="" textlink="AG32">
      <xdr:nvSpPr>
        <xdr:cNvPr id="38" name="ZoneTexte 37"/>
        <xdr:cNvSpPr txBox="1"/>
      </xdr:nvSpPr>
      <xdr:spPr>
        <a:xfrm>
          <a:off x="6113145" y="4516402"/>
          <a:ext cx="847725" cy="386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29D93C1-C554-4227-AECB-04BA73EF9561}" type="TxLink">
            <a:rPr lang="en-US" sz="1400" b="1" i="0" u="none" strike="noStrike">
              <a:solidFill>
                <a:schemeClr val="bg1"/>
              </a:solidFill>
              <a:latin typeface="PT Sans" pitchFamily="34" charset="0"/>
              <a:cs typeface="Times New Roman"/>
            </a:rPr>
            <a:pPr algn="ctr"/>
            <a:t>30,39</a:t>
          </a:fld>
          <a:endParaRPr lang="fr-FR" sz="14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733901</xdr:colOff>
      <xdr:row>24</xdr:row>
      <xdr:rowOff>59531</xdr:rowOff>
    </xdr:from>
    <xdr:to>
      <xdr:col>9</xdr:col>
      <xdr:colOff>427572</xdr:colOff>
      <xdr:row>26</xdr:row>
      <xdr:rowOff>1</xdr:rowOff>
    </xdr:to>
    <xdr:sp macro="" textlink="">
      <xdr:nvSpPr>
        <xdr:cNvPr id="39" name="ZoneTexte 38"/>
        <xdr:cNvSpPr txBox="1"/>
      </xdr:nvSpPr>
      <xdr:spPr>
        <a:xfrm>
          <a:off x="6782276" y="4512469"/>
          <a:ext cx="539015" cy="345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5</xdr:col>
      <xdr:colOff>104774</xdr:colOff>
      <xdr:row>16</xdr:row>
      <xdr:rowOff>76200</xdr:rowOff>
    </xdr:from>
    <xdr:to>
      <xdr:col>6</xdr:col>
      <xdr:colOff>472442</xdr:colOff>
      <xdr:row>18</xdr:row>
      <xdr:rowOff>63868</xdr:rowOff>
    </xdr:to>
    <xdr:sp macro="" textlink="$R$127">
      <xdr:nvSpPr>
        <xdr:cNvPr id="40" name="ZoneTexte 39"/>
        <xdr:cNvSpPr txBox="1"/>
      </xdr:nvSpPr>
      <xdr:spPr>
        <a:xfrm>
          <a:off x="3914774" y="3429000"/>
          <a:ext cx="1123950" cy="406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6C38DD0-7A17-4C10-89A8-D72B5B2F26F3}" type="TxLink">
            <a:rPr lang="fr-FR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10210</a:t>
          </a:fld>
          <a:endParaRPr lang="fr-FR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114300</xdr:colOff>
      <xdr:row>18</xdr:row>
      <xdr:rowOff>25885</xdr:rowOff>
    </xdr:from>
    <xdr:to>
      <xdr:col>6</xdr:col>
      <xdr:colOff>530889</xdr:colOff>
      <xdr:row>21</xdr:row>
      <xdr:rowOff>170206</xdr:rowOff>
    </xdr:to>
    <xdr:sp macro="" textlink="$X$124">
      <xdr:nvSpPr>
        <xdr:cNvPr id="41" name="ZoneTexte 40"/>
        <xdr:cNvSpPr txBox="1"/>
      </xdr:nvSpPr>
      <xdr:spPr>
        <a:xfrm>
          <a:off x="3924300" y="3669198"/>
          <a:ext cx="1178589" cy="346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BC2A37C-5166-4FCD-AF3B-EA6BF811C8FE}" type="TxLink">
            <a:rPr lang="en-US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3676</a:t>
          </a:fld>
          <a:endParaRPr lang="en-US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695514</xdr:colOff>
      <xdr:row>16</xdr:row>
      <xdr:rowOff>71438</xdr:rowOff>
    </xdr:from>
    <xdr:to>
      <xdr:col>6</xdr:col>
      <xdr:colOff>483532</xdr:colOff>
      <xdr:row>17</xdr:row>
      <xdr:rowOff>119062</xdr:rowOff>
    </xdr:to>
    <xdr:sp macro="" textlink="">
      <xdr:nvSpPr>
        <xdr:cNvPr id="42" name="ZoneTexte 41"/>
        <xdr:cNvSpPr txBox="1"/>
      </xdr:nvSpPr>
      <xdr:spPr>
        <a:xfrm>
          <a:off x="4505514" y="3309938"/>
          <a:ext cx="550018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</a:t>
          </a:r>
        </a:p>
      </xdr:txBody>
    </xdr:sp>
    <xdr:clientData/>
  </xdr:twoCellAnchor>
  <xdr:twoCellAnchor>
    <xdr:from>
      <xdr:col>5</xdr:col>
      <xdr:colOff>668326</xdr:colOff>
      <xdr:row>18</xdr:row>
      <xdr:rowOff>36546</xdr:rowOff>
    </xdr:from>
    <xdr:to>
      <xdr:col>6</xdr:col>
      <xdr:colOff>548703</xdr:colOff>
      <xdr:row>21</xdr:row>
      <xdr:rowOff>83628</xdr:rowOff>
    </xdr:to>
    <xdr:sp macro="" textlink="">
      <xdr:nvSpPr>
        <xdr:cNvPr id="43" name="ZoneTexte 42"/>
        <xdr:cNvSpPr txBox="1"/>
      </xdr:nvSpPr>
      <xdr:spPr>
        <a:xfrm>
          <a:off x="4478326" y="3679859"/>
          <a:ext cx="642377" cy="249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</a:t>
          </a:r>
        </a:p>
      </xdr:txBody>
    </xdr:sp>
    <xdr:clientData/>
  </xdr:twoCellAnchor>
  <xdr:twoCellAnchor>
    <xdr:from>
      <xdr:col>4</xdr:col>
      <xdr:colOff>756285</xdr:colOff>
      <xdr:row>0</xdr:row>
      <xdr:rowOff>0</xdr:rowOff>
    </xdr:from>
    <xdr:to>
      <xdr:col>6</xdr:col>
      <xdr:colOff>404398</xdr:colOff>
      <xdr:row>1</xdr:row>
      <xdr:rowOff>38099</xdr:rowOff>
    </xdr:to>
    <xdr:sp macro="" textlink="$W$32">
      <xdr:nvSpPr>
        <xdr:cNvPr id="44" name="ZoneTexte 43"/>
        <xdr:cNvSpPr txBox="1"/>
      </xdr:nvSpPr>
      <xdr:spPr>
        <a:xfrm>
          <a:off x="3800475" y="0"/>
          <a:ext cx="1177787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42B8846-FDE8-47B3-91D9-2521F08D3D1A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455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142875</xdr:colOff>
      <xdr:row>12</xdr:row>
      <xdr:rowOff>152400</xdr:rowOff>
    </xdr:from>
    <xdr:to>
      <xdr:col>0</xdr:col>
      <xdr:colOff>438150</xdr:colOff>
      <xdr:row>14</xdr:row>
      <xdr:rowOff>114300</xdr:rowOff>
    </xdr:to>
    <xdr:pic>
      <xdr:nvPicPr>
        <xdr:cNvPr id="572353" name="Image 4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" y="2552700"/>
          <a:ext cx="295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634364</xdr:colOff>
      <xdr:row>13</xdr:row>
      <xdr:rowOff>59531</xdr:rowOff>
    </xdr:from>
    <xdr:to>
      <xdr:col>7</xdr:col>
      <xdr:colOff>583405</xdr:colOff>
      <xdr:row>15</xdr:row>
      <xdr:rowOff>157162</xdr:rowOff>
    </xdr:to>
    <xdr:sp macro="" textlink="$A$32">
      <xdr:nvSpPr>
        <xdr:cNvPr id="45" name="ZoneTexte 44"/>
        <xdr:cNvSpPr txBox="1"/>
      </xdr:nvSpPr>
      <xdr:spPr>
        <a:xfrm>
          <a:off x="2158364" y="2690812"/>
          <a:ext cx="3639979" cy="502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889A353-BECE-4028-8E31-270E7A28B3D8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Températures de fonctionnement -20 à 90 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523876</xdr:colOff>
      <xdr:row>33</xdr:row>
      <xdr:rowOff>35719</xdr:rowOff>
    </xdr:from>
    <xdr:to>
      <xdr:col>6</xdr:col>
      <xdr:colOff>35721</xdr:colOff>
      <xdr:row>35</xdr:row>
      <xdr:rowOff>71438</xdr:rowOff>
    </xdr:to>
    <xdr:sp macro="" textlink="">
      <xdr:nvSpPr>
        <xdr:cNvPr id="46" name="Rectangle à coins arrondis 45">
          <a:hlinkClick xmlns:r="http://schemas.openxmlformats.org/officeDocument/2006/relationships" r:id="rId3"/>
        </xdr:cNvPr>
        <xdr:cNvSpPr/>
      </xdr:nvSpPr>
      <xdr:spPr>
        <a:xfrm>
          <a:off x="523876" y="6096000"/>
          <a:ext cx="4083845" cy="523876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 editAs="oneCell">
    <xdr:from>
      <xdr:col>7</xdr:col>
      <xdr:colOff>511968</xdr:colOff>
      <xdr:row>33</xdr:row>
      <xdr:rowOff>107155</xdr:rowOff>
    </xdr:from>
    <xdr:to>
      <xdr:col>9</xdr:col>
      <xdr:colOff>271968</xdr:colOff>
      <xdr:row>35</xdr:row>
      <xdr:rowOff>100624</xdr:rowOff>
    </xdr:to>
    <xdr:pic>
      <xdr:nvPicPr>
        <xdr:cNvPr id="47" name="Image 46" descr="Logo-Luce-Hydr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26906" y="6167436"/>
          <a:ext cx="1438781" cy="481626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333373</xdr:colOff>
      <xdr:row>27</xdr:row>
      <xdr:rowOff>1</xdr:rowOff>
    </xdr:from>
    <xdr:to>
      <xdr:col>11</xdr:col>
      <xdr:colOff>416716</xdr:colOff>
      <xdr:row>37</xdr:row>
      <xdr:rowOff>130969</xdr:rowOff>
    </xdr:to>
    <xdr:pic>
      <xdr:nvPicPr>
        <xdr:cNvPr id="48" name="Image 47" descr="logo_socah_hydraulique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27092" y="5560220"/>
          <a:ext cx="1607343" cy="1607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7"/>
  <sheetViews>
    <sheetView tabSelected="1" zoomScale="80" zoomScaleNormal="80" zoomScaleSheetLayoutView="80" workbookViewId="0">
      <selection activeCell="E23" sqref="E23"/>
    </sheetView>
  </sheetViews>
  <sheetFormatPr baseColWidth="10" defaultRowHeight="15.75"/>
  <cols>
    <col min="1" max="7" width="9.42578125" style="1" customWidth="1"/>
    <col min="8" max="8" width="10.5703125" style="1" bestFit="1" customWidth="1"/>
    <col min="9" max="9" width="12.5703125" style="1" customWidth="1"/>
    <col min="10" max="10" width="9.5703125" style="1" customWidth="1"/>
    <col min="11" max="17" width="9.42578125" style="1" customWidth="1"/>
    <col min="18" max="18" width="12.85546875" style="1" customWidth="1"/>
    <col min="19" max="19" width="14.7109375" style="1" hidden="1" customWidth="1"/>
    <col min="20" max="20" width="7.7109375" style="1" hidden="1" customWidth="1"/>
    <col min="21" max="21" width="8" style="1" hidden="1" customWidth="1"/>
    <col min="22" max="22" width="4.5703125" style="1" hidden="1" customWidth="1"/>
    <col min="23" max="23" width="5.5703125" style="1" hidden="1" customWidth="1"/>
    <col min="24" max="24" width="4.5703125" style="1" hidden="1" customWidth="1"/>
    <col min="25" max="26" width="3.42578125" style="1" hidden="1" customWidth="1"/>
    <col min="27" max="27" width="4.5703125" style="1" hidden="1" customWidth="1"/>
    <col min="28" max="30" width="3.42578125" style="1" hidden="1" customWidth="1"/>
    <col min="31" max="31" width="6.28515625" style="1" hidden="1" customWidth="1"/>
    <col min="32" max="32" width="4.28515625" style="1" hidden="1" customWidth="1"/>
    <col min="33" max="33" width="3.28515625" style="1" hidden="1" customWidth="1"/>
    <col min="34" max="34" width="4.28515625" style="1" hidden="1" customWidth="1"/>
    <col min="35" max="35" width="6.7109375" style="1" hidden="1" customWidth="1"/>
    <col min="36" max="36" width="16.85546875" style="1" hidden="1" customWidth="1"/>
    <col min="37" max="37" width="11.7109375" style="1" hidden="1" customWidth="1"/>
    <col min="38" max="38" width="18.7109375" style="1" hidden="1" customWidth="1"/>
    <col min="39" max="40" width="11.42578125" style="1" hidden="1" customWidth="1"/>
    <col min="41" max="41" width="2.42578125" style="1" customWidth="1"/>
    <col min="42" max="44" width="11.42578125" style="1" customWidth="1"/>
    <col min="45" max="16384" width="11.42578125" style="1"/>
  </cols>
  <sheetData>
    <row r="1" spans="19:53" ht="15" customHeight="1" thickBot="1">
      <c r="W1" s="2">
        <f>VLOOKUP($A$23,$T$2:$AI$13,4)</f>
        <v>310</v>
      </c>
      <c r="X1" s="2">
        <f>VLOOKUP($A$23,$T$2:$AI$13,5)</f>
        <v>70</v>
      </c>
      <c r="Y1" s="2">
        <f>VLOOKUP($A$23,$T$2:$AI$13,6)</f>
        <v>50</v>
      </c>
      <c r="Z1" s="2">
        <f>VLOOKUP($A$23,$T$2:$AI$13,7)</f>
        <v>25</v>
      </c>
      <c r="AA1" s="2">
        <f>VLOOKUP($A$23,$T$2:$AI$13,8)</f>
        <v>75</v>
      </c>
      <c r="AB1" s="2">
        <f>VLOOKUP($A$23,$T$2:$AI$13,9)</f>
        <v>25</v>
      </c>
      <c r="AC1" s="2">
        <f>VLOOKUP($A$23,$T$2:$AI$13,10)</f>
        <v>35</v>
      </c>
      <c r="AD1" s="2">
        <f>VLOOKUP($A$23,$T$2:$AI$13,11)</f>
        <v>47</v>
      </c>
      <c r="AE1" s="2">
        <f>VLOOKUP($A$23,$T$2:$AI$13,12)</f>
        <v>25.4</v>
      </c>
      <c r="AF1" s="2" t="str">
        <f>VLOOKUP($A$23,$T$2:$AI$13,13)</f>
        <v>3/8'</v>
      </c>
      <c r="AG1" s="2">
        <f>VLOOKUP($A$23,$T$2:$AI$13,14)</f>
        <v>15</v>
      </c>
      <c r="AH1" s="2">
        <f>VLOOKUP($A$23,$T$2:$AI$13,15)</f>
        <v>30</v>
      </c>
      <c r="AI1" s="3">
        <f>VLOOKUP($A$23,$T$2:$AI$13,16)</f>
        <v>7.93</v>
      </c>
      <c r="AJ1" s="4">
        <f>AM6*E23</f>
        <v>981.93244304791824</v>
      </c>
      <c r="AR1" s="5"/>
      <c r="AS1" s="6"/>
      <c r="AT1" s="6"/>
      <c r="AU1" s="6"/>
      <c r="AV1" s="6"/>
      <c r="AW1" s="6"/>
      <c r="AX1" s="6"/>
      <c r="AY1" s="6"/>
      <c r="AZ1" s="6"/>
      <c r="BA1" s="6"/>
    </row>
    <row r="2" spans="19:53" ht="15" customHeight="1" thickBot="1">
      <c r="S2" s="7" t="s">
        <v>236</v>
      </c>
      <c r="T2" s="8">
        <v>16</v>
      </c>
      <c r="U2" s="9">
        <f t="shared" ref="U2:U13" si="0">$C$23</f>
        <v>150</v>
      </c>
      <c r="V2" s="10">
        <v>90</v>
      </c>
      <c r="W2" s="11">
        <f>U2+V2</f>
        <v>240</v>
      </c>
      <c r="X2" s="11">
        <v>30</v>
      </c>
      <c r="Y2" s="11">
        <v>38</v>
      </c>
      <c r="Z2" s="11">
        <v>12</v>
      </c>
      <c r="AA2" s="11">
        <v>26</v>
      </c>
      <c r="AB2" s="11">
        <v>12</v>
      </c>
      <c r="AC2" s="11">
        <v>0</v>
      </c>
      <c r="AD2" s="11">
        <v>16</v>
      </c>
      <c r="AE2" s="12">
        <v>10.199999999999999</v>
      </c>
      <c r="AF2" s="13" t="s">
        <v>12</v>
      </c>
      <c r="AG2" s="12">
        <v>15</v>
      </c>
      <c r="AH2" s="12">
        <v>30</v>
      </c>
      <c r="AI2" s="11">
        <f>0.6+((U2/100)*0.6)</f>
        <v>1.5</v>
      </c>
      <c r="AJ2" s="14">
        <f>((3.1416*(T2*T2))/4)</f>
        <v>201.0624</v>
      </c>
      <c r="AK2" s="15">
        <f>(((3.1416*(T2*T2))/4)*U2)/1000000</f>
        <v>3.015936E-2</v>
      </c>
      <c r="AR2" s="5"/>
      <c r="AS2" s="6"/>
      <c r="AT2" s="6"/>
      <c r="AU2" s="6"/>
      <c r="AV2" s="6"/>
      <c r="AW2" s="6"/>
      <c r="AX2" s="6"/>
      <c r="AY2" s="6"/>
      <c r="AZ2" s="6"/>
      <c r="BA2" s="6"/>
    </row>
    <row r="3" spans="19:53" ht="15" customHeight="1">
      <c r="S3" s="7" t="s">
        <v>31</v>
      </c>
      <c r="T3" s="16">
        <v>20</v>
      </c>
      <c r="U3" s="17">
        <f t="shared" si="0"/>
        <v>150</v>
      </c>
      <c r="V3" s="10">
        <v>80</v>
      </c>
      <c r="W3" s="11">
        <f t="shared" ref="W3:W13" si="1">U3+V3</f>
        <v>230</v>
      </c>
      <c r="X3" s="11">
        <v>35</v>
      </c>
      <c r="Y3" s="11">
        <v>33</v>
      </c>
      <c r="Z3" s="11">
        <v>14</v>
      </c>
      <c r="AA3" s="11">
        <v>30</v>
      </c>
      <c r="AB3" s="11">
        <v>12</v>
      </c>
      <c r="AC3" s="11">
        <v>14</v>
      </c>
      <c r="AD3" s="11">
        <v>18</v>
      </c>
      <c r="AE3" s="12">
        <v>12</v>
      </c>
      <c r="AF3" s="13" t="s">
        <v>12</v>
      </c>
      <c r="AG3" s="12">
        <v>15</v>
      </c>
      <c r="AH3" s="12">
        <v>5</v>
      </c>
      <c r="AI3" s="11">
        <f>0.6+((U3/100)*0.6)</f>
        <v>1.5</v>
      </c>
      <c r="AJ3" s="14">
        <f>((3.1416*(T3*T3))/4)</f>
        <v>314.15999999999997</v>
      </c>
      <c r="AK3" s="15">
        <f>(((3.1416*(T3*T3))/4)*U3)/1000000</f>
        <v>4.7123999999999992E-2</v>
      </c>
      <c r="AL3" s="5" t="s">
        <v>0</v>
      </c>
      <c r="AR3" s="5"/>
      <c r="AS3" s="6"/>
      <c r="AT3" s="6"/>
      <c r="AU3" s="6"/>
      <c r="AV3" s="6"/>
      <c r="AW3" s="6"/>
      <c r="AX3" s="6"/>
      <c r="AY3" s="6"/>
      <c r="AZ3" s="6"/>
      <c r="BA3" s="6"/>
    </row>
    <row r="4" spans="19:53" ht="15" customHeight="1">
      <c r="S4" s="18" t="s">
        <v>32</v>
      </c>
      <c r="T4" s="19">
        <v>30</v>
      </c>
      <c r="U4" s="17">
        <f t="shared" si="0"/>
        <v>150</v>
      </c>
      <c r="V4" s="20">
        <v>100</v>
      </c>
      <c r="W4" s="21">
        <f t="shared" si="1"/>
        <v>250</v>
      </c>
      <c r="X4" s="21">
        <v>50</v>
      </c>
      <c r="Y4" s="21">
        <v>40</v>
      </c>
      <c r="Z4" s="21">
        <v>15</v>
      </c>
      <c r="AA4" s="21">
        <v>41</v>
      </c>
      <c r="AB4" s="21">
        <v>15</v>
      </c>
      <c r="AC4" s="21">
        <v>18</v>
      </c>
      <c r="AD4" s="21">
        <v>27</v>
      </c>
      <c r="AE4" s="22">
        <v>16</v>
      </c>
      <c r="AF4" s="23" t="s">
        <v>13</v>
      </c>
      <c r="AG4" s="22">
        <v>15</v>
      </c>
      <c r="AH4" s="22">
        <v>10</v>
      </c>
      <c r="AI4" s="24">
        <f>1.32+((U4/100)*1.105)</f>
        <v>2.9775</v>
      </c>
      <c r="AJ4" s="25">
        <f>((3.1416*(T4*T4))/4)</f>
        <v>706.86</v>
      </c>
      <c r="AK4" s="26">
        <f>(((3.1416*(T4*T4))/4)*U4)/1000000</f>
        <v>0.106029</v>
      </c>
      <c r="AL4" s="5" t="s">
        <v>94</v>
      </c>
      <c r="AY4" s="6"/>
      <c r="AZ4" s="6"/>
      <c r="BA4" s="6"/>
    </row>
    <row r="5" spans="19:53" ht="15" customHeight="1">
      <c r="S5" s="18" t="s">
        <v>33</v>
      </c>
      <c r="T5" s="19">
        <v>40</v>
      </c>
      <c r="U5" s="17">
        <f t="shared" si="0"/>
        <v>150</v>
      </c>
      <c r="V5" s="20">
        <v>140</v>
      </c>
      <c r="W5" s="21">
        <f t="shared" si="1"/>
        <v>290</v>
      </c>
      <c r="X5" s="21">
        <v>60</v>
      </c>
      <c r="Y5" s="21">
        <v>45</v>
      </c>
      <c r="Z5" s="21">
        <v>22</v>
      </c>
      <c r="AA5" s="21">
        <v>59</v>
      </c>
      <c r="AB5" s="21">
        <v>20</v>
      </c>
      <c r="AC5" s="21">
        <v>28</v>
      </c>
      <c r="AD5" s="21">
        <v>37</v>
      </c>
      <c r="AE5" s="22">
        <v>23</v>
      </c>
      <c r="AF5" s="23" t="s">
        <v>13</v>
      </c>
      <c r="AG5" s="22">
        <v>15</v>
      </c>
      <c r="AH5" s="22">
        <v>26</v>
      </c>
      <c r="AI5" s="21">
        <f>2.7+((U5/100)*1.66)</f>
        <v>5.1899999999999995</v>
      </c>
      <c r="AJ5" s="25">
        <f t="shared" ref="AJ5:AJ13" si="2">((3.1416*(T5*T5))/4)</f>
        <v>1256.6399999999999</v>
      </c>
      <c r="AK5" s="26">
        <f t="shared" ref="AK5:AK13" si="3">(((3.1416*(T5*T5))/4)*U5)/1000000</f>
        <v>0.18849599999999997</v>
      </c>
      <c r="AL5" s="5" t="s">
        <v>97</v>
      </c>
      <c r="AQ5" s="270"/>
      <c r="AR5" s="271"/>
      <c r="AS5" s="271"/>
      <c r="AT5" s="271"/>
      <c r="AU5" s="271"/>
      <c r="AV5" s="271"/>
    </row>
    <row r="6" spans="19:53" ht="15" customHeight="1">
      <c r="S6" s="18" t="s">
        <v>34</v>
      </c>
      <c r="T6" s="19">
        <v>45</v>
      </c>
      <c r="U6" s="17">
        <f t="shared" si="0"/>
        <v>150</v>
      </c>
      <c r="V6" s="20">
        <v>140</v>
      </c>
      <c r="W6" s="21">
        <f t="shared" si="1"/>
        <v>290</v>
      </c>
      <c r="X6" s="21">
        <v>70</v>
      </c>
      <c r="Y6" s="21">
        <v>47</v>
      </c>
      <c r="Z6" s="21">
        <v>22</v>
      </c>
      <c r="AA6" s="21">
        <v>56</v>
      </c>
      <c r="AB6" s="21">
        <v>23</v>
      </c>
      <c r="AC6" s="21">
        <v>28</v>
      </c>
      <c r="AD6" s="21">
        <v>42</v>
      </c>
      <c r="AE6" s="22">
        <v>23</v>
      </c>
      <c r="AF6" s="23" t="s">
        <v>13</v>
      </c>
      <c r="AG6" s="22">
        <v>15</v>
      </c>
      <c r="AH6" s="22">
        <v>30</v>
      </c>
      <c r="AI6" s="21">
        <f>4.42+((U6/100)*2.05)</f>
        <v>7.4949999999999992</v>
      </c>
      <c r="AJ6" s="25">
        <f t="shared" si="2"/>
        <v>1590.4349999999999</v>
      </c>
      <c r="AK6" s="26">
        <f t="shared" si="3"/>
        <v>0.23856525000000001</v>
      </c>
      <c r="AM6" s="27">
        <f>((A23)/10)^2/1.273</f>
        <v>19.638648860958366</v>
      </c>
      <c r="AN6" s="5" t="s">
        <v>89</v>
      </c>
      <c r="AQ6" s="271"/>
      <c r="AR6" s="271"/>
      <c r="AS6" s="271"/>
      <c r="AT6" s="271"/>
      <c r="AU6" s="271"/>
      <c r="AV6" s="271"/>
    </row>
    <row r="7" spans="19:53" ht="15" customHeight="1">
      <c r="S7" s="18" t="s">
        <v>35</v>
      </c>
      <c r="T7" s="19">
        <v>50</v>
      </c>
      <c r="U7" s="17">
        <f t="shared" si="0"/>
        <v>150</v>
      </c>
      <c r="V7" s="20">
        <v>160</v>
      </c>
      <c r="W7" s="21">
        <f t="shared" si="1"/>
        <v>310</v>
      </c>
      <c r="X7" s="21">
        <v>70</v>
      </c>
      <c r="Y7" s="21">
        <v>50</v>
      </c>
      <c r="Z7" s="21">
        <v>25</v>
      </c>
      <c r="AA7" s="21">
        <v>75</v>
      </c>
      <c r="AB7" s="21">
        <v>25</v>
      </c>
      <c r="AC7" s="21">
        <v>35</v>
      </c>
      <c r="AD7" s="21">
        <v>47</v>
      </c>
      <c r="AE7" s="28">
        <v>25.4</v>
      </c>
      <c r="AF7" s="23" t="s">
        <v>13</v>
      </c>
      <c r="AG7" s="22">
        <v>15</v>
      </c>
      <c r="AH7" s="22">
        <v>30</v>
      </c>
      <c r="AI7" s="21">
        <f>4.42+((U7/100)*2.34)</f>
        <v>7.93</v>
      </c>
      <c r="AJ7" s="25">
        <f t="shared" si="2"/>
        <v>1963.5</v>
      </c>
      <c r="AK7" s="26">
        <f t="shared" si="3"/>
        <v>0.29452499999999998</v>
      </c>
      <c r="AL7" s="5" t="s">
        <v>100</v>
      </c>
      <c r="AQ7" s="271"/>
      <c r="AR7" s="271"/>
      <c r="AS7" s="271"/>
      <c r="AT7" s="271"/>
      <c r="AU7" s="271"/>
      <c r="AV7" s="271"/>
    </row>
    <row r="8" spans="19:53" ht="15" customHeight="1">
      <c r="S8" s="18" t="s">
        <v>36</v>
      </c>
      <c r="T8" s="19">
        <v>55</v>
      </c>
      <c r="U8" s="17">
        <f t="shared" si="0"/>
        <v>150</v>
      </c>
      <c r="V8" s="20">
        <v>160</v>
      </c>
      <c r="W8" s="21">
        <f t="shared" si="1"/>
        <v>310</v>
      </c>
      <c r="X8" s="21">
        <v>75</v>
      </c>
      <c r="Y8" s="21">
        <v>50</v>
      </c>
      <c r="Z8" s="21">
        <v>25</v>
      </c>
      <c r="AA8" s="21">
        <v>69</v>
      </c>
      <c r="AB8" s="21">
        <v>25</v>
      </c>
      <c r="AC8" s="21">
        <v>35</v>
      </c>
      <c r="AD8" s="21">
        <v>52</v>
      </c>
      <c r="AE8" s="28">
        <v>25.4</v>
      </c>
      <c r="AF8" s="23" t="s">
        <v>13</v>
      </c>
      <c r="AG8" s="22">
        <v>15</v>
      </c>
      <c r="AH8" s="22">
        <v>30</v>
      </c>
      <c r="AI8" s="21">
        <f>5.2+((U8/100)*2.73)</f>
        <v>9.2949999999999999</v>
      </c>
      <c r="AJ8" s="25">
        <f t="shared" si="2"/>
        <v>2375.835</v>
      </c>
      <c r="AK8" s="26">
        <f t="shared" si="3"/>
        <v>0.35637524999999998</v>
      </c>
      <c r="AM8" s="29">
        <f>(AB17*60)/'Standard simple effet brut'!G23</f>
        <v>5.8915946582875103</v>
      </c>
      <c r="AN8" s="5" t="s">
        <v>93</v>
      </c>
      <c r="AQ8" s="271"/>
      <c r="AR8" s="271"/>
      <c r="AS8" s="271"/>
      <c r="AT8" s="271"/>
      <c r="AU8" s="271"/>
      <c r="AV8" s="271"/>
    </row>
    <row r="9" spans="19:53" ht="15" customHeight="1">
      <c r="S9" s="18" t="s">
        <v>37</v>
      </c>
      <c r="T9" s="19">
        <v>60</v>
      </c>
      <c r="U9" s="17">
        <f t="shared" si="0"/>
        <v>150</v>
      </c>
      <c r="V9" s="20">
        <v>160</v>
      </c>
      <c r="W9" s="21">
        <f t="shared" si="1"/>
        <v>310</v>
      </c>
      <c r="X9" s="21">
        <v>80</v>
      </c>
      <c r="Y9" s="21">
        <v>50</v>
      </c>
      <c r="Z9" s="21">
        <v>25</v>
      </c>
      <c r="AA9" s="21">
        <v>69</v>
      </c>
      <c r="AB9" s="21">
        <v>25</v>
      </c>
      <c r="AC9" s="21">
        <v>35</v>
      </c>
      <c r="AD9" s="21">
        <v>57</v>
      </c>
      <c r="AE9" s="28">
        <v>25.4</v>
      </c>
      <c r="AF9" s="23" t="s">
        <v>13</v>
      </c>
      <c r="AG9" s="22">
        <v>15</v>
      </c>
      <c r="AH9" s="22">
        <v>30</v>
      </c>
      <c r="AI9" s="21">
        <f>6.02+((U9/100)*3.14)</f>
        <v>10.73</v>
      </c>
      <c r="AJ9" s="25">
        <f t="shared" si="2"/>
        <v>2827.44</v>
      </c>
      <c r="AK9" s="26">
        <f t="shared" si="3"/>
        <v>0.42411599999999999</v>
      </c>
      <c r="AL9" s="5" t="s">
        <v>92</v>
      </c>
      <c r="AQ9" s="271"/>
      <c r="AR9" s="271"/>
      <c r="AS9" s="271"/>
      <c r="AT9" s="271"/>
      <c r="AU9" s="271"/>
      <c r="AV9" s="271"/>
    </row>
    <row r="10" spans="19:53" ht="15" customHeight="1">
      <c r="S10" s="18" t="s">
        <v>38</v>
      </c>
      <c r="T10" s="19">
        <v>70</v>
      </c>
      <c r="U10" s="17">
        <f t="shared" si="0"/>
        <v>150</v>
      </c>
      <c r="V10" s="20">
        <v>210</v>
      </c>
      <c r="W10" s="21">
        <f t="shared" si="1"/>
        <v>360</v>
      </c>
      <c r="X10" s="21">
        <v>90</v>
      </c>
      <c r="Y10" s="21">
        <v>53</v>
      </c>
      <c r="Z10" s="21">
        <v>25</v>
      </c>
      <c r="AA10" s="21">
        <v>104</v>
      </c>
      <c r="AB10" s="21">
        <v>30</v>
      </c>
      <c r="AC10" s="21">
        <v>42</v>
      </c>
      <c r="AD10" s="21">
        <v>67</v>
      </c>
      <c r="AE10" s="24">
        <v>30.25</v>
      </c>
      <c r="AF10" s="23" t="s">
        <v>13</v>
      </c>
      <c r="AG10" s="22">
        <v>15</v>
      </c>
      <c r="AH10" s="22">
        <v>35</v>
      </c>
      <c r="AI10" s="21">
        <f>10.11+((U10/100)*4.07)</f>
        <v>16.215</v>
      </c>
      <c r="AJ10" s="25">
        <f t="shared" si="2"/>
        <v>3848.46</v>
      </c>
      <c r="AK10" s="26">
        <f t="shared" si="3"/>
        <v>0.57726900000000003</v>
      </c>
      <c r="AO10" s="30"/>
      <c r="AP10" s="30"/>
      <c r="AQ10" s="30"/>
      <c r="AR10" s="30"/>
      <c r="AS10" s="30"/>
      <c r="AT10" s="31"/>
      <c r="AU10" s="31"/>
    </row>
    <row r="11" spans="19:53" ht="15" customHeight="1">
      <c r="S11" s="18" t="s">
        <v>42</v>
      </c>
      <c r="T11" s="19">
        <v>80</v>
      </c>
      <c r="U11" s="17">
        <f t="shared" si="0"/>
        <v>150</v>
      </c>
      <c r="V11" s="20">
        <v>210</v>
      </c>
      <c r="W11" s="21">
        <f t="shared" si="1"/>
        <v>360</v>
      </c>
      <c r="X11" s="21">
        <v>100</v>
      </c>
      <c r="Y11" s="21">
        <v>52</v>
      </c>
      <c r="Z11" s="21">
        <v>25</v>
      </c>
      <c r="AA11" s="21">
        <v>84</v>
      </c>
      <c r="AB11" s="21">
        <v>25</v>
      </c>
      <c r="AC11" s="21">
        <v>42</v>
      </c>
      <c r="AD11" s="21">
        <v>77</v>
      </c>
      <c r="AE11" s="24">
        <v>30.25</v>
      </c>
      <c r="AF11" s="23" t="s">
        <v>13</v>
      </c>
      <c r="AG11" s="22">
        <v>15</v>
      </c>
      <c r="AH11" s="22">
        <v>35</v>
      </c>
      <c r="AI11" s="21">
        <f>12+((U11/100)*5.05)</f>
        <v>19.574999999999999</v>
      </c>
      <c r="AJ11" s="25">
        <f t="shared" si="2"/>
        <v>5026.5599999999995</v>
      </c>
      <c r="AK11" s="26">
        <f t="shared" si="3"/>
        <v>0.75398399999999988</v>
      </c>
    </row>
    <row r="12" spans="19:53" ht="15" customHeight="1">
      <c r="S12" s="18" t="s">
        <v>43</v>
      </c>
      <c r="T12" s="19">
        <v>90</v>
      </c>
      <c r="U12" s="17">
        <f t="shared" si="0"/>
        <v>150</v>
      </c>
      <c r="V12" s="20">
        <v>210</v>
      </c>
      <c r="W12" s="21">
        <f t="shared" si="1"/>
        <v>360</v>
      </c>
      <c r="X12" s="21">
        <v>115</v>
      </c>
      <c r="Y12" s="21">
        <v>58</v>
      </c>
      <c r="Z12" s="21">
        <v>30</v>
      </c>
      <c r="AA12" s="21">
        <v>84</v>
      </c>
      <c r="AB12" s="21">
        <v>25</v>
      </c>
      <c r="AC12" s="21">
        <v>42</v>
      </c>
      <c r="AD12" s="21">
        <v>87</v>
      </c>
      <c r="AE12" s="24">
        <v>30.25</v>
      </c>
      <c r="AF12" s="23" t="s">
        <v>13</v>
      </c>
      <c r="AG12" s="22">
        <v>15</v>
      </c>
      <c r="AH12" s="22">
        <v>35</v>
      </c>
      <c r="AI12" s="21">
        <f>17+((U12/100)*6.23)</f>
        <v>26.344999999999999</v>
      </c>
      <c r="AJ12" s="25">
        <f t="shared" si="2"/>
        <v>6361.74</v>
      </c>
      <c r="AK12" s="26">
        <f t="shared" si="3"/>
        <v>0.95426100000000003</v>
      </c>
    </row>
    <row r="13" spans="19:53" ht="15" customHeight="1" thickBot="1">
      <c r="S13" s="32" t="s">
        <v>44</v>
      </c>
      <c r="T13" s="33">
        <v>100</v>
      </c>
      <c r="U13" s="34">
        <f t="shared" si="0"/>
        <v>150</v>
      </c>
      <c r="V13" s="35">
        <v>210</v>
      </c>
      <c r="W13" s="36">
        <f t="shared" si="1"/>
        <v>360</v>
      </c>
      <c r="X13" s="36">
        <v>130</v>
      </c>
      <c r="Y13" s="36">
        <v>58</v>
      </c>
      <c r="Z13" s="36">
        <v>30</v>
      </c>
      <c r="AA13" s="36">
        <v>76</v>
      </c>
      <c r="AB13" s="36">
        <v>30</v>
      </c>
      <c r="AC13" s="36">
        <v>60</v>
      </c>
      <c r="AD13" s="36">
        <v>97</v>
      </c>
      <c r="AE13" s="37">
        <v>30.25</v>
      </c>
      <c r="AF13" s="38" t="s">
        <v>13</v>
      </c>
      <c r="AG13" s="39">
        <v>15</v>
      </c>
      <c r="AH13" s="39">
        <v>30</v>
      </c>
      <c r="AI13" s="36">
        <f>22+((U13/100)*7.54)</f>
        <v>33.31</v>
      </c>
      <c r="AJ13" s="40">
        <f t="shared" si="2"/>
        <v>7854</v>
      </c>
      <c r="AK13" s="41">
        <f t="shared" si="3"/>
        <v>1.1780999999999999</v>
      </c>
    </row>
    <row r="14" spans="19:53" ht="15" customHeight="1">
      <c r="T14" s="42">
        <v>1</v>
      </c>
      <c r="U14" s="42">
        <v>2</v>
      </c>
      <c r="V14" s="42">
        <v>3</v>
      </c>
      <c r="W14" s="42">
        <v>4</v>
      </c>
      <c r="X14" s="42">
        <v>5</v>
      </c>
      <c r="Y14" s="42">
        <v>6</v>
      </c>
      <c r="Z14" s="42">
        <v>7</v>
      </c>
      <c r="AA14" s="42">
        <v>8</v>
      </c>
      <c r="AB14" s="42">
        <v>9</v>
      </c>
      <c r="AC14" s="42">
        <v>10</v>
      </c>
      <c r="AD14" s="42">
        <v>11</v>
      </c>
      <c r="AE14" s="42">
        <v>12</v>
      </c>
      <c r="AF14" s="42">
        <v>13</v>
      </c>
      <c r="AG14" s="42">
        <v>14</v>
      </c>
      <c r="AH14" s="42">
        <v>15</v>
      </c>
      <c r="AI14" s="42">
        <v>16</v>
      </c>
      <c r="AJ14" s="42"/>
    </row>
    <row r="15" spans="19:53" ht="15" customHeight="1"/>
    <row r="16" spans="19:53" ht="15" customHeight="1">
      <c r="T16" s="2"/>
      <c r="V16" s="2"/>
      <c r="Y16" s="43"/>
      <c r="Z16" s="43"/>
    </row>
    <row r="17" spans="1:32" ht="15" customHeight="1">
      <c r="T17" s="2"/>
      <c r="V17" s="2"/>
      <c r="W17" s="272" t="s">
        <v>90</v>
      </c>
      <c r="X17" s="273"/>
      <c r="Y17" s="273"/>
      <c r="Z17" s="273"/>
      <c r="AA17" s="273"/>
      <c r="AB17" s="276">
        <f>(AM6*(C23/10))/1000</f>
        <v>0.2945797329143755</v>
      </c>
      <c r="AC17" s="276"/>
      <c r="AD17" s="276"/>
      <c r="AE17" s="273" t="s">
        <v>91</v>
      </c>
      <c r="AF17" s="273"/>
    </row>
    <row r="18" spans="1:32" ht="15" customHeight="1">
      <c r="T18" s="2"/>
      <c r="V18" s="2"/>
      <c r="W18" s="274" t="s">
        <v>92</v>
      </c>
      <c r="X18" s="275"/>
      <c r="Y18" s="275"/>
      <c r="Z18" s="275"/>
      <c r="AA18" s="275"/>
      <c r="AB18" s="277">
        <f>AB17/(G23/60)</f>
        <v>1.178318931657502</v>
      </c>
      <c r="AC18" s="277"/>
      <c r="AD18" s="277"/>
      <c r="AE18" s="275" t="s">
        <v>186</v>
      </c>
      <c r="AF18" s="275"/>
    </row>
    <row r="19" spans="1:32" ht="49.5" customHeight="1">
      <c r="T19" s="2"/>
      <c r="V19" s="2"/>
    </row>
    <row r="20" spans="1:32">
      <c r="A20" s="44"/>
      <c r="B20" s="45"/>
      <c r="C20" s="46"/>
      <c r="D20" s="47"/>
      <c r="E20" s="47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32" ht="15.75" customHeight="1">
      <c r="A21" s="280" t="s">
        <v>18</v>
      </c>
      <c r="B21" s="280"/>
      <c r="C21" s="282" t="s">
        <v>0</v>
      </c>
      <c r="D21" s="266"/>
      <c r="E21" s="282" t="s">
        <v>171</v>
      </c>
      <c r="F21" s="284"/>
      <c r="G21" s="266" t="s">
        <v>172</v>
      </c>
      <c r="H21" s="266"/>
      <c r="I21" s="49"/>
      <c r="J21" s="49"/>
      <c r="K21" s="49"/>
      <c r="L21" s="49"/>
      <c r="M21" s="49"/>
      <c r="N21" s="49"/>
      <c r="O21" s="49"/>
      <c r="P21" s="49"/>
      <c r="Q21" s="49"/>
    </row>
    <row r="22" spans="1:32" ht="15.75" customHeight="1">
      <c r="A22" s="281"/>
      <c r="B22" s="281"/>
      <c r="C22" s="283"/>
      <c r="D22" s="267"/>
      <c r="E22" s="283"/>
      <c r="F22" s="285"/>
      <c r="G22" s="267"/>
      <c r="H22" s="267"/>
      <c r="I22" s="55" t="str">
        <f>IF(G24&gt;0.5,"Attention, la vitesse linéaire pour un vérin STD est dépassée."," "  )</f>
        <v xml:space="preserve"> </v>
      </c>
      <c r="J22" s="44"/>
      <c r="K22" s="44"/>
      <c r="L22" s="44"/>
      <c r="M22" s="44"/>
      <c r="N22" s="44"/>
      <c r="O22" s="44"/>
      <c r="P22" s="44"/>
      <c r="Q22" s="44"/>
    </row>
    <row r="23" spans="1:32" ht="15.75" customHeight="1">
      <c r="A23" s="261">
        <v>50</v>
      </c>
      <c r="B23" s="57" t="s">
        <v>26</v>
      </c>
      <c r="C23" s="262">
        <v>150</v>
      </c>
      <c r="D23" s="57" t="s">
        <v>26</v>
      </c>
      <c r="E23" s="263">
        <v>50</v>
      </c>
      <c r="F23" s="61" t="s">
        <v>95</v>
      </c>
      <c r="G23" s="264">
        <v>15</v>
      </c>
      <c r="H23" s="117" t="s">
        <v>98</v>
      </c>
      <c r="I23" s="56" t="str">
        <f>IF(C23&gt;999,"Attention, vérifier la préconisation d'un guidage renforcé.","  ")</f>
        <v xml:space="preserve">  </v>
      </c>
      <c r="J23" s="44"/>
      <c r="K23" s="44"/>
      <c r="L23" s="44"/>
      <c r="M23" s="44"/>
      <c r="N23" s="44"/>
      <c r="O23" s="44"/>
      <c r="P23" s="44"/>
      <c r="Q23" s="44"/>
    </row>
    <row r="24" spans="1:32" ht="15.75" customHeight="1">
      <c r="A24" s="268" t="s">
        <v>92</v>
      </c>
      <c r="B24" s="269"/>
      <c r="C24" s="62">
        <f>AB17/(G23/60)</f>
        <v>1.178318931657502</v>
      </c>
      <c r="D24" s="59" t="s">
        <v>186</v>
      </c>
      <c r="E24" s="278" t="s">
        <v>179</v>
      </c>
      <c r="F24" s="279"/>
      <c r="G24" s="60">
        <f>(C23/C24)/1000</f>
        <v>0.1273</v>
      </c>
      <c r="H24" s="58" t="s">
        <v>96</v>
      </c>
      <c r="I24" s="50" t="str">
        <f>IF(E23&gt;200,"Attention, pression maxi 200 bars."," "  )</f>
        <v xml:space="preserve"> </v>
      </c>
      <c r="J24" s="44"/>
      <c r="K24" s="54"/>
      <c r="L24" s="44"/>
      <c r="M24" s="44"/>
      <c r="N24" s="44"/>
      <c r="O24" s="44"/>
      <c r="P24" s="44"/>
      <c r="Q24" s="44"/>
    </row>
    <row r="25" spans="1:32" ht="15.75" customHeight="1">
      <c r="F25" s="51" t="str">
        <f>IF(E23&lt;21,"Attention, pression mini 20 bars ."," "  )</f>
        <v xml:space="preserve"> </v>
      </c>
      <c r="G25" s="51"/>
      <c r="H25" s="51"/>
      <c r="I25" s="51"/>
      <c r="J25" s="44"/>
      <c r="K25" s="44"/>
      <c r="L25" s="44"/>
      <c r="M25" s="44"/>
      <c r="N25" s="44"/>
      <c r="O25" s="44"/>
      <c r="P25" s="44"/>
      <c r="Q25" s="44"/>
    </row>
    <row r="26" spans="1:32" ht="18.75">
      <c r="A26" s="53" t="s">
        <v>269</v>
      </c>
      <c r="B26" s="42"/>
      <c r="C26" s="42"/>
      <c r="D26" s="42"/>
      <c r="E26" s="42"/>
      <c r="F26" s="42"/>
      <c r="G26" s="42"/>
      <c r="H26" s="52"/>
      <c r="J26" s="44"/>
      <c r="K26" s="44"/>
      <c r="L26" s="44"/>
      <c r="M26" s="44"/>
      <c r="N26" s="44"/>
      <c r="O26" s="44"/>
      <c r="P26" s="44"/>
      <c r="Q26" s="44"/>
    </row>
    <row r="27" spans="1:32" s="6" customFormat="1" ht="18.75"/>
    <row r="28" spans="1:32" s="6" customFormat="1" ht="18.75"/>
    <row r="29" spans="1:32" s="6" customFormat="1" ht="18.75"/>
    <row r="30" spans="1:32" s="6" customFormat="1" ht="18.75"/>
    <row r="31" spans="1:32" s="6" customFormat="1" ht="18.75">
      <c r="A31" s="114" t="s">
        <v>270</v>
      </c>
    </row>
    <row r="32" spans="1:32" s="6" customFormat="1" ht="18.75">
      <c r="A32" s="114" t="s">
        <v>271</v>
      </c>
    </row>
    <row r="33" s="6" customFormat="1" ht="18.75"/>
    <row r="34" s="6" customFormat="1" ht="18.75"/>
    <row r="35" s="6" customFormat="1" ht="18.75"/>
    <row r="36" s="6" customFormat="1" ht="18.75"/>
    <row r="37" s="6" customFormat="1" ht="18.75"/>
    <row r="38" s="6" customFormat="1" ht="18.75"/>
    <row r="39" s="6" customFormat="1" ht="18.75"/>
    <row r="40" s="6" customFormat="1" ht="18.75"/>
    <row r="41" s="6" customFormat="1" ht="18.75"/>
    <row r="42" s="6" customFormat="1" ht="18.75"/>
    <row r="43" s="6" customFormat="1" ht="18.75"/>
    <row r="44" s="6" customFormat="1" ht="18.75"/>
    <row r="45" s="6" customFormat="1" ht="18.75"/>
    <row r="46" s="6" customFormat="1" ht="18.75"/>
    <row r="47" s="6" customFormat="1" ht="18.75"/>
    <row r="48" s="6" customFormat="1" ht="18.75"/>
    <row r="49" s="6" customFormat="1" ht="18.75"/>
    <row r="50" s="6" customFormat="1" ht="18.75"/>
    <row r="51" s="6" customFormat="1" ht="18.75"/>
    <row r="52" s="6" customFormat="1" ht="18.75"/>
    <row r="53" s="6" customFormat="1" ht="18.75"/>
    <row r="54" s="6" customFormat="1" ht="18.75"/>
    <row r="55" s="6" customFormat="1" ht="18.75"/>
    <row r="56" s="6" customFormat="1" ht="18.75"/>
    <row r="57" s="6" customFormat="1" ht="18.75"/>
  </sheetData>
  <sheetProtection password="9494" sheet="1" objects="1" scenarios="1" selectLockedCells="1"/>
  <mergeCells count="13">
    <mergeCell ref="G21:H22"/>
    <mergeCell ref="A24:B24"/>
    <mergeCell ref="AQ5:AV9"/>
    <mergeCell ref="W17:AA17"/>
    <mergeCell ref="W18:AA18"/>
    <mergeCell ref="AB17:AD17"/>
    <mergeCell ref="AB18:AD18"/>
    <mergeCell ref="AE17:AF17"/>
    <mergeCell ref="AE18:AF18"/>
    <mergeCell ref="E24:F24"/>
    <mergeCell ref="A21:B22"/>
    <mergeCell ref="C21:D22"/>
    <mergeCell ref="E21:F22"/>
  </mergeCells>
  <phoneticPr fontId="1" type="noConversion"/>
  <dataValidations count="4">
    <dataValidation type="decimal" errorStyle="warning" operator="greaterThan" allowBlank="1" showInputMessage="1" showErrorMessage="1" error="Attention la vitesse maximum de sortie de tiges est atteinte" sqref="G24">
      <formula1>0.5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3">
      <formula1>201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3">
      <formula1>1001</formula1>
    </dataValidation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3">
      <formula1>$T$2:$T$13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="80" zoomScaleNormal="80" workbookViewId="0">
      <selection activeCell="A23" sqref="A23"/>
    </sheetView>
  </sheetViews>
  <sheetFormatPr baseColWidth="10" defaultRowHeight="13.5"/>
  <cols>
    <col min="1" max="1" width="12" style="63" customWidth="1"/>
    <col min="2" max="2" width="12.140625" style="63" customWidth="1"/>
    <col min="3" max="3" width="11" style="63" customWidth="1"/>
    <col min="4" max="4" width="6.5703125" style="63" customWidth="1"/>
    <col min="5" max="5" width="9.85546875" style="63" customWidth="1"/>
    <col min="6" max="6" width="9.7109375" style="63" customWidth="1"/>
    <col min="7" max="7" width="10.7109375" style="63" bestFit="1" customWidth="1"/>
    <col min="8" max="8" width="10.28515625" style="63" bestFit="1" customWidth="1"/>
    <col min="9" max="9" width="10.7109375" style="63" customWidth="1"/>
    <col min="10" max="10" width="11.140625" style="63" customWidth="1"/>
    <col min="11" max="11" width="14" style="63" customWidth="1"/>
    <col min="12" max="12" width="17" style="63" customWidth="1"/>
    <col min="13" max="13" width="8.85546875" style="63" customWidth="1"/>
    <col min="14" max="14" width="5.140625" style="63" customWidth="1"/>
    <col min="15" max="15" width="17.85546875" style="44" hidden="1" customWidth="1"/>
    <col min="16" max="16" width="10.7109375" style="44" hidden="1" customWidth="1"/>
    <col min="17" max="17" width="8.28515625" style="44" hidden="1" customWidth="1"/>
    <col min="18" max="18" width="7.85546875" style="44" hidden="1" customWidth="1"/>
    <col min="19" max="19" width="6.7109375" style="44" hidden="1" customWidth="1"/>
    <col min="20" max="20" width="5.85546875" style="44" hidden="1" customWidth="1"/>
    <col min="21" max="21" width="3.28515625" style="44" hidden="1" customWidth="1"/>
    <col min="22" max="22" width="9.7109375" style="44" hidden="1" customWidth="1"/>
    <col min="23" max="23" width="4.42578125" style="44" hidden="1" customWidth="1"/>
    <col min="24" max="24" width="4.7109375" style="44" hidden="1" customWidth="1"/>
    <col min="25" max="25" width="3.28515625" style="44" hidden="1" customWidth="1"/>
    <col min="26" max="26" width="11.42578125" style="44" hidden="1" customWidth="1"/>
    <col min="27" max="27" width="16.85546875" style="44" hidden="1" customWidth="1"/>
    <col min="28" max="28" width="11.42578125" style="44" hidden="1" customWidth="1"/>
    <col min="29" max="29" width="11.42578125" style="44" customWidth="1"/>
    <col min="30" max="16384" width="11.42578125" style="63"/>
  </cols>
  <sheetData>
    <row r="1" spans="1:28" ht="13.5" customHeight="1">
      <c r="A1" s="99"/>
      <c r="B1" s="100"/>
      <c r="C1" s="101"/>
      <c r="D1" s="102"/>
      <c r="E1" s="102"/>
      <c r="F1" s="103"/>
      <c r="G1" s="104"/>
      <c r="H1" s="104"/>
      <c r="I1" s="104"/>
      <c r="J1" s="104"/>
      <c r="K1" s="104"/>
      <c r="L1" s="104"/>
      <c r="M1" s="105"/>
      <c r="N1" s="49"/>
    </row>
    <row r="2" spans="1:28" ht="16.5" thickBot="1">
      <c r="A2" s="99"/>
      <c r="B2" s="100"/>
      <c r="C2" s="101"/>
      <c r="D2" s="102"/>
      <c r="E2" s="102"/>
      <c r="F2" s="103"/>
      <c r="G2" s="104"/>
      <c r="H2" s="104"/>
      <c r="I2" s="104"/>
      <c r="J2" s="104"/>
      <c r="K2" s="104"/>
      <c r="L2" s="104"/>
      <c r="M2" s="105"/>
      <c r="N2" s="49"/>
      <c r="P2" s="44">
        <f>VLOOKUP($A$23,P5:AB16,1,FALSE)</f>
        <v>20</v>
      </c>
      <c r="Q2" s="44">
        <f>VLOOKUP(A23,P5:AB16,2)</f>
        <v>30</v>
      </c>
      <c r="R2" s="44">
        <f>VLOOKUP(A23,P5:AB16,3)</f>
        <v>114</v>
      </c>
      <c r="S2" s="44">
        <f>VLOOKUP(A23,P5:AB16,4)</f>
        <v>84</v>
      </c>
      <c r="T2" s="44">
        <f>VLOOKUP(A23,P5:AB16,5)</f>
        <v>35</v>
      </c>
      <c r="U2" s="44">
        <f>VLOOKUP(A23,P5:AB16,6)</f>
        <v>27</v>
      </c>
      <c r="V2" s="44">
        <f>VLOOKUP(A23,P5:AB16,7)</f>
        <v>30</v>
      </c>
      <c r="W2" s="44" t="str">
        <f>VLOOKUP(A23,P5:AB16,8)</f>
        <v>1/4'</v>
      </c>
      <c r="X2" s="44">
        <f>VLOOKUP(A23,P5:AB16,9)</f>
        <v>15</v>
      </c>
      <c r="Y2" s="44">
        <f>VLOOKUP(A23,P5:AB16,10)</f>
        <v>5</v>
      </c>
      <c r="Z2" s="44">
        <f>VLOOKUP(A23,P5:AB16,11)</f>
        <v>0.78</v>
      </c>
      <c r="AA2" s="64">
        <f>VLOOKUP(A23,P5:AB16,12)</f>
        <v>628.31999999999994</v>
      </c>
      <c r="AB2" s="65">
        <f>VLOOKUP(A23,P5:AB16,13)</f>
        <v>9.4247999999999988E-3</v>
      </c>
    </row>
    <row r="3" spans="1:28" ht="16.5" thickBot="1">
      <c r="A3" s="99"/>
      <c r="B3" s="100"/>
      <c r="C3" s="101"/>
      <c r="D3" s="102"/>
      <c r="E3" s="102"/>
      <c r="F3" s="103"/>
      <c r="G3" s="104"/>
      <c r="H3" s="104"/>
      <c r="I3" s="104"/>
      <c r="J3" s="104"/>
      <c r="K3" s="104"/>
      <c r="L3" s="104"/>
      <c r="M3" s="105"/>
      <c r="N3" s="49"/>
      <c r="O3" s="291" t="s">
        <v>1</v>
      </c>
      <c r="P3" s="66" t="s">
        <v>21</v>
      </c>
      <c r="Q3" s="66" t="s">
        <v>0</v>
      </c>
      <c r="R3" s="67" t="s">
        <v>185</v>
      </c>
      <c r="S3" s="68" t="s">
        <v>2</v>
      </c>
      <c r="T3" s="69" t="s">
        <v>3</v>
      </c>
      <c r="U3" s="68" t="s">
        <v>4</v>
      </c>
      <c r="V3" s="69" t="s">
        <v>7</v>
      </c>
      <c r="W3" s="70" t="s">
        <v>15</v>
      </c>
      <c r="X3" s="71" t="s">
        <v>17</v>
      </c>
      <c r="Y3" s="72" t="s">
        <v>180</v>
      </c>
      <c r="Z3" s="66" t="s">
        <v>16</v>
      </c>
      <c r="AA3" s="68" t="s">
        <v>181</v>
      </c>
      <c r="AB3" s="66" t="s">
        <v>182</v>
      </c>
    </row>
    <row r="4" spans="1:28" ht="16.5" thickBot="1">
      <c r="A4" s="99"/>
      <c r="B4" s="100"/>
      <c r="C4" s="101"/>
      <c r="D4" s="102"/>
      <c r="E4" s="102"/>
      <c r="F4" s="103"/>
      <c r="G4" s="104"/>
      <c r="H4" s="104"/>
      <c r="I4" s="104"/>
      <c r="J4" s="104"/>
      <c r="K4" s="104"/>
      <c r="L4" s="104"/>
      <c r="M4" s="105"/>
      <c r="N4" s="49"/>
      <c r="O4" s="292"/>
      <c r="P4" s="288" t="s">
        <v>26</v>
      </c>
      <c r="Q4" s="289"/>
      <c r="R4" s="289"/>
      <c r="S4" s="289"/>
      <c r="T4" s="289"/>
      <c r="U4" s="289"/>
      <c r="V4" s="289"/>
      <c r="W4" s="289"/>
      <c r="X4" s="290"/>
      <c r="Y4" s="73"/>
      <c r="Z4" s="73" t="s">
        <v>23</v>
      </c>
      <c r="AA4" s="74" t="s">
        <v>183</v>
      </c>
      <c r="AB4" s="73" t="s">
        <v>184</v>
      </c>
    </row>
    <row r="5" spans="1:28" ht="16.5" thickBot="1">
      <c r="A5" s="99"/>
      <c r="B5" s="100"/>
      <c r="C5" s="101"/>
      <c r="D5" s="102"/>
      <c r="E5" s="102"/>
      <c r="F5" s="103"/>
      <c r="G5" s="104"/>
      <c r="H5" s="104"/>
      <c r="I5" s="104"/>
      <c r="J5" s="104"/>
      <c r="K5" s="104"/>
      <c r="L5" s="104"/>
      <c r="M5" s="104"/>
      <c r="N5" s="49"/>
      <c r="O5" s="75" t="s">
        <v>237</v>
      </c>
      <c r="P5" s="76">
        <v>16</v>
      </c>
      <c r="Q5" s="76">
        <f>$C$23</f>
        <v>30</v>
      </c>
      <c r="R5" s="19">
        <f>S5+V5</f>
        <v>126</v>
      </c>
      <c r="S5" s="77">
        <f>70+Q5</f>
        <v>100</v>
      </c>
      <c r="T5" s="77">
        <v>30</v>
      </c>
      <c r="U5" s="77">
        <v>32</v>
      </c>
      <c r="V5" s="77">
        <v>26</v>
      </c>
      <c r="W5" s="78" t="s">
        <v>12</v>
      </c>
      <c r="X5" s="79">
        <v>15</v>
      </c>
      <c r="Y5" s="80">
        <v>30</v>
      </c>
      <c r="Z5" s="11">
        <f>0.6+((Q5/100)*0.6)</f>
        <v>0.78</v>
      </c>
      <c r="AA5" s="14">
        <f>((3.1416*(P5*P5))/4)*(E23/100)</f>
        <v>402.12479999999999</v>
      </c>
      <c r="AB5" s="15">
        <f>(((3.1416*(P5*P5))/4)*Q5)/1000000</f>
        <v>6.0318720000000006E-3</v>
      </c>
    </row>
    <row r="6" spans="1:28" ht="16.5" thickBot="1">
      <c r="A6" s="99"/>
      <c r="B6" s="100"/>
      <c r="C6" s="101"/>
      <c r="D6" s="102"/>
      <c r="E6" s="102"/>
      <c r="F6" s="103"/>
      <c r="G6" s="104"/>
      <c r="H6" s="104"/>
      <c r="I6" s="104"/>
      <c r="J6" s="104"/>
      <c r="K6" s="104"/>
      <c r="L6" s="104"/>
      <c r="M6" s="104"/>
      <c r="N6" s="49"/>
      <c r="O6" s="75" t="s">
        <v>45</v>
      </c>
      <c r="P6" s="76">
        <v>20</v>
      </c>
      <c r="Q6" s="76">
        <f t="shared" ref="Q6:Q16" si="0">$C$23</f>
        <v>30</v>
      </c>
      <c r="R6" s="19">
        <f>S6+V6</f>
        <v>114</v>
      </c>
      <c r="S6" s="77">
        <f>54+Q6</f>
        <v>84</v>
      </c>
      <c r="T6" s="77">
        <v>35</v>
      </c>
      <c r="U6" s="77">
        <v>27</v>
      </c>
      <c r="V6" s="77">
        <v>30</v>
      </c>
      <c r="W6" s="78" t="s">
        <v>12</v>
      </c>
      <c r="X6" s="79">
        <v>15</v>
      </c>
      <c r="Y6" s="80">
        <v>5</v>
      </c>
      <c r="Z6" s="11">
        <f>0.6+((Q6/100)*0.6)</f>
        <v>0.78</v>
      </c>
      <c r="AA6" s="14">
        <f>((3.1416*(P6*P6))/4)*(E23/100)</f>
        <v>628.31999999999994</v>
      </c>
      <c r="AB6" s="15">
        <f>(((3.1416*(P6*P6))/4)*Q6)/1000000</f>
        <v>9.4247999999999988E-3</v>
      </c>
    </row>
    <row r="7" spans="1:28" ht="16.5" thickBot="1">
      <c r="A7" s="99"/>
      <c r="B7" s="100"/>
      <c r="C7" s="101"/>
      <c r="D7" s="102"/>
      <c r="E7" s="102"/>
      <c r="F7" s="103"/>
      <c r="G7" s="104"/>
      <c r="H7" s="104"/>
      <c r="I7" s="104"/>
      <c r="J7" s="104"/>
      <c r="K7" s="104"/>
      <c r="L7" s="104"/>
      <c r="M7" s="104"/>
      <c r="N7" s="49"/>
      <c r="O7" s="81" t="s">
        <v>46</v>
      </c>
      <c r="P7" s="82">
        <v>30</v>
      </c>
      <c r="Q7" s="76">
        <f t="shared" si="0"/>
        <v>30</v>
      </c>
      <c r="R7" s="19">
        <f t="shared" ref="R7:R16" si="1">S7+V7</f>
        <v>140</v>
      </c>
      <c r="S7" s="83">
        <f>69+Q7</f>
        <v>99</v>
      </c>
      <c r="T7" s="83">
        <v>50</v>
      </c>
      <c r="U7" s="83">
        <v>35</v>
      </c>
      <c r="V7" s="83">
        <v>41</v>
      </c>
      <c r="W7" s="84" t="s">
        <v>13</v>
      </c>
      <c r="X7" s="85">
        <v>15</v>
      </c>
      <c r="Y7" s="86">
        <v>10</v>
      </c>
      <c r="Z7" s="24">
        <f>1.32+((Q7/100)*1.105)</f>
        <v>1.6515</v>
      </c>
      <c r="AA7" s="25">
        <f>((3.1416*(P7*P7))/4)*(E23/100)</f>
        <v>1413.72</v>
      </c>
      <c r="AB7" s="26">
        <f t="shared" ref="AB7:AB16" si="2">(((3.1416*(P7*P7))/4)*Q7)/1000000</f>
        <v>2.12058E-2</v>
      </c>
    </row>
    <row r="8" spans="1:28" ht="16.5" thickBot="1">
      <c r="A8" s="99"/>
      <c r="B8" s="100"/>
      <c r="C8" s="101"/>
      <c r="D8" s="102"/>
      <c r="E8" s="102"/>
      <c r="F8" s="103"/>
      <c r="G8" s="104"/>
      <c r="H8" s="104"/>
      <c r="I8" s="104"/>
      <c r="J8" s="104"/>
      <c r="K8" s="104"/>
      <c r="L8" s="104"/>
      <c r="M8" s="104"/>
      <c r="N8" s="49"/>
      <c r="O8" s="81" t="s">
        <v>47</v>
      </c>
      <c r="P8" s="82">
        <v>40</v>
      </c>
      <c r="Q8" s="76">
        <f t="shared" si="0"/>
        <v>30</v>
      </c>
      <c r="R8" s="19">
        <f t="shared" si="1"/>
        <v>180</v>
      </c>
      <c r="S8" s="83">
        <f>91+Q8</f>
        <v>121</v>
      </c>
      <c r="T8" s="83">
        <v>60</v>
      </c>
      <c r="U8" s="83">
        <v>35</v>
      </c>
      <c r="V8" s="83">
        <v>59</v>
      </c>
      <c r="W8" s="84" t="s">
        <v>13</v>
      </c>
      <c r="X8" s="85">
        <v>15</v>
      </c>
      <c r="Y8" s="86">
        <v>26</v>
      </c>
      <c r="Z8" s="21">
        <f>2.7+((Q8/100)*1.66)</f>
        <v>3.198</v>
      </c>
      <c r="AA8" s="25">
        <f>((3.1416*(P8*P8))/4)*(E23/100)</f>
        <v>2513.2799999999997</v>
      </c>
      <c r="AB8" s="26">
        <f t="shared" si="2"/>
        <v>3.7699199999999995E-2</v>
      </c>
    </row>
    <row r="9" spans="1:28" ht="16.5" thickBot="1">
      <c r="A9" s="99"/>
      <c r="B9" s="100"/>
      <c r="C9" s="101"/>
      <c r="D9" s="102"/>
      <c r="E9" s="102"/>
      <c r="F9" s="103"/>
      <c r="G9" s="104"/>
      <c r="H9" s="104"/>
      <c r="I9" s="104"/>
      <c r="J9" s="104"/>
      <c r="K9" s="104"/>
      <c r="L9" s="104"/>
      <c r="M9" s="104"/>
      <c r="N9" s="49"/>
      <c r="O9" s="81" t="s">
        <v>48</v>
      </c>
      <c r="P9" s="82">
        <v>45</v>
      </c>
      <c r="Q9" s="76">
        <f t="shared" si="0"/>
        <v>30</v>
      </c>
      <c r="R9" s="19">
        <f t="shared" si="1"/>
        <v>181</v>
      </c>
      <c r="S9" s="83">
        <f>95+Q9</f>
        <v>125</v>
      </c>
      <c r="T9" s="83">
        <v>70</v>
      </c>
      <c r="U9" s="83">
        <v>35</v>
      </c>
      <c r="V9" s="83">
        <v>56</v>
      </c>
      <c r="W9" s="84" t="s">
        <v>13</v>
      </c>
      <c r="X9" s="85">
        <v>15</v>
      </c>
      <c r="Y9" s="86">
        <v>30</v>
      </c>
      <c r="Z9" s="21">
        <f>4.42+((Q9/100)*2.05)</f>
        <v>5.0350000000000001</v>
      </c>
      <c r="AA9" s="25">
        <f>((3.1416*(P9*P9))/4)*(E23/100)</f>
        <v>3180.87</v>
      </c>
      <c r="AB9" s="26">
        <f t="shared" si="2"/>
        <v>4.7713049999999993E-2</v>
      </c>
    </row>
    <row r="10" spans="1:28" ht="16.5" thickBot="1">
      <c r="A10" s="99"/>
      <c r="B10" s="100"/>
      <c r="C10" s="101"/>
      <c r="D10" s="102"/>
      <c r="E10" s="102"/>
      <c r="F10" s="103"/>
      <c r="G10" s="104"/>
      <c r="H10" s="104"/>
      <c r="I10" s="104"/>
      <c r="J10" s="104"/>
      <c r="K10" s="104"/>
      <c r="L10" s="104"/>
      <c r="M10" s="105"/>
      <c r="N10" s="49"/>
      <c r="O10" s="81" t="s">
        <v>49</v>
      </c>
      <c r="P10" s="82">
        <v>50</v>
      </c>
      <c r="Q10" s="76">
        <f t="shared" si="0"/>
        <v>30</v>
      </c>
      <c r="R10" s="19">
        <f t="shared" si="1"/>
        <v>200</v>
      </c>
      <c r="S10" s="83">
        <f>95+Q10</f>
        <v>125</v>
      </c>
      <c r="T10" s="83">
        <v>70</v>
      </c>
      <c r="U10" s="83">
        <v>35</v>
      </c>
      <c r="V10" s="83">
        <v>75</v>
      </c>
      <c r="W10" s="84" t="s">
        <v>13</v>
      </c>
      <c r="X10" s="85">
        <v>15</v>
      </c>
      <c r="Y10" s="86">
        <v>30</v>
      </c>
      <c r="Z10" s="21">
        <f>4.42+((Q10/100)*2.34)</f>
        <v>5.1219999999999999</v>
      </c>
      <c r="AA10" s="25">
        <f>((3.1416*(P10*P10))/4)*(E23/100)</f>
        <v>3927</v>
      </c>
      <c r="AB10" s="26">
        <f t="shared" si="2"/>
        <v>5.8904999999999999E-2</v>
      </c>
    </row>
    <row r="11" spans="1:28" ht="16.5" thickBot="1">
      <c r="A11" s="99"/>
      <c r="B11" s="100"/>
      <c r="C11" s="101"/>
      <c r="D11" s="102"/>
      <c r="E11" s="102"/>
      <c r="F11" s="103"/>
      <c r="G11" s="104"/>
      <c r="H11" s="104"/>
      <c r="I11" s="104"/>
      <c r="J11" s="104"/>
      <c r="K11" s="104"/>
      <c r="L11" s="104"/>
      <c r="M11" s="105"/>
      <c r="N11" s="49"/>
      <c r="O11" s="81" t="s">
        <v>50</v>
      </c>
      <c r="P11" s="82">
        <v>55</v>
      </c>
      <c r="Q11" s="76">
        <f t="shared" si="0"/>
        <v>30</v>
      </c>
      <c r="R11" s="19">
        <f t="shared" si="1"/>
        <v>200</v>
      </c>
      <c r="S11" s="83">
        <f>101+Q11</f>
        <v>131</v>
      </c>
      <c r="T11" s="83">
        <v>75</v>
      </c>
      <c r="U11" s="83">
        <v>35</v>
      </c>
      <c r="V11" s="83">
        <v>69</v>
      </c>
      <c r="W11" s="84" t="s">
        <v>13</v>
      </c>
      <c r="X11" s="85">
        <v>15</v>
      </c>
      <c r="Y11" s="86">
        <v>30</v>
      </c>
      <c r="Z11" s="21">
        <f>5.2+((Q11/100)*2.73)</f>
        <v>6.0190000000000001</v>
      </c>
      <c r="AA11" s="25">
        <f>((3.1416*(P11*P11))/4)*(E23/100)</f>
        <v>4751.67</v>
      </c>
      <c r="AB11" s="26">
        <f t="shared" si="2"/>
        <v>7.1275050000000006E-2</v>
      </c>
    </row>
    <row r="12" spans="1:28" ht="16.5" customHeight="1" thickBot="1">
      <c r="A12" s="99"/>
      <c r="B12" s="100"/>
      <c r="C12" s="101"/>
      <c r="D12" s="102"/>
      <c r="E12" s="102"/>
      <c r="F12" s="103"/>
      <c r="G12" s="104"/>
      <c r="H12" s="104"/>
      <c r="I12" s="104"/>
      <c r="J12" s="104"/>
      <c r="K12" s="104"/>
      <c r="L12" s="104"/>
      <c r="M12" s="105"/>
      <c r="N12" s="49"/>
      <c r="O12" s="81" t="s">
        <v>51</v>
      </c>
      <c r="P12" s="82">
        <v>60</v>
      </c>
      <c r="Q12" s="76">
        <f t="shared" si="0"/>
        <v>30</v>
      </c>
      <c r="R12" s="19">
        <f t="shared" si="1"/>
        <v>202</v>
      </c>
      <c r="S12" s="83">
        <f>103+Q12</f>
        <v>133</v>
      </c>
      <c r="T12" s="83">
        <v>80</v>
      </c>
      <c r="U12" s="83">
        <v>37</v>
      </c>
      <c r="V12" s="83">
        <v>69</v>
      </c>
      <c r="W12" s="84" t="s">
        <v>13</v>
      </c>
      <c r="X12" s="85">
        <v>15</v>
      </c>
      <c r="Y12" s="86">
        <v>30</v>
      </c>
      <c r="Z12" s="21">
        <f>6.02+((Q12/100)*3.14)</f>
        <v>6.9619999999999997</v>
      </c>
      <c r="AA12" s="25">
        <f>((3.1416*(P12*P12))/4)*(E23/100)</f>
        <v>5654.88</v>
      </c>
      <c r="AB12" s="26">
        <f t="shared" si="2"/>
        <v>8.4823200000000001E-2</v>
      </c>
    </row>
    <row r="13" spans="1:28" ht="16.5" customHeight="1" thickBot="1">
      <c r="A13" s="99"/>
      <c r="B13" s="100"/>
      <c r="C13" s="101"/>
      <c r="D13" s="102"/>
      <c r="E13" s="102"/>
      <c r="F13" s="103"/>
      <c r="G13" s="104"/>
      <c r="H13" s="104"/>
      <c r="I13" s="104"/>
      <c r="J13" s="104"/>
      <c r="K13" s="104"/>
      <c r="L13" s="104"/>
      <c r="M13" s="105"/>
      <c r="N13" s="49"/>
      <c r="O13" s="81" t="s">
        <v>52</v>
      </c>
      <c r="P13" s="82">
        <v>70</v>
      </c>
      <c r="Q13" s="76">
        <f t="shared" si="0"/>
        <v>30</v>
      </c>
      <c r="R13" s="19">
        <f t="shared" si="1"/>
        <v>254</v>
      </c>
      <c r="S13" s="83">
        <f>120+Q13</f>
        <v>150</v>
      </c>
      <c r="T13" s="83">
        <v>90</v>
      </c>
      <c r="U13" s="83">
        <v>37</v>
      </c>
      <c r="V13" s="83">
        <v>104</v>
      </c>
      <c r="W13" s="84" t="s">
        <v>13</v>
      </c>
      <c r="X13" s="85">
        <v>15</v>
      </c>
      <c r="Y13" s="86">
        <v>35</v>
      </c>
      <c r="Z13" s="21">
        <f>10.11+((Q13/100)*4.07)</f>
        <v>11.331</v>
      </c>
      <c r="AA13" s="25">
        <f>((3.1416*(P13*P13))/4)*(E23/100)</f>
        <v>7696.92</v>
      </c>
      <c r="AB13" s="26">
        <f t="shared" si="2"/>
        <v>0.11545380000000001</v>
      </c>
    </row>
    <row r="14" spans="1:28" ht="16.5" customHeight="1" thickBot="1">
      <c r="A14" s="99"/>
      <c r="B14" s="100"/>
      <c r="C14" s="101"/>
      <c r="D14" s="102"/>
      <c r="E14" s="102"/>
      <c r="F14" s="103"/>
      <c r="G14" s="104"/>
      <c r="H14" s="104"/>
      <c r="I14" s="104"/>
      <c r="J14" s="104"/>
      <c r="K14" s="104"/>
      <c r="L14" s="104"/>
      <c r="M14" s="105"/>
      <c r="N14" s="49"/>
      <c r="O14" s="81" t="s">
        <v>77</v>
      </c>
      <c r="P14" s="82">
        <v>80</v>
      </c>
      <c r="Q14" s="76">
        <f t="shared" si="0"/>
        <v>30</v>
      </c>
      <c r="R14" s="19">
        <f t="shared" si="1"/>
        <v>244</v>
      </c>
      <c r="S14" s="83">
        <f>130+Q14</f>
        <v>160</v>
      </c>
      <c r="T14" s="83">
        <v>100</v>
      </c>
      <c r="U14" s="83">
        <v>37</v>
      </c>
      <c r="V14" s="83">
        <v>84</v>
      </c>
      <c r="W14" s="84" t="s">
        <v>13</v>
      </c>
      <c r="X14" s="85">
        <v>15</v>
      </c>
      <c r="Y14" s="86">
        <v>35</v>
      </c>
      <c r="Z14" s="21">
        <f>12.57+((Q14/100)*5.05)</f>
        <v>14.085000000000001</v>
      </c>
      <c r="AA14" s="25">
        <f>((3.1416*(P14*P14))/4)*(E23/100)</f>
        <v>10053.119999999999</v>
      </c>
      <c r="AB14" s="26">
        <f t="shared" si="2"/>
        <v>0.15079679999999998</v>
      </c>
    </row>
    <row r="15" spans="1:28" ht="16.5" customHeight="1" thickBot="1">
      <c r="A15" s="99"/>
      <c r="B15" s="100"/>
      <c r="C15" s="101"/>
      <c r="D15" s="102"/>
      <c r="E15" s="102"/>
      <c r="F15" s="103"/>
      <c r="G15" s="104"/>
      <c r="H15" s="104"/>
      <c r="I15" s="104"/>
      <c r="J15" s="104"/>
      <c r="K15" s="104"/>
      <c r="L15" s="104"/>
      <c r="M15" s="105"/>
      <c r="N15" s="49"/>
      <c r="O15" s="81" t="s">
        <v>78</v>
      </c>
      <c r="P15" s="82">
        <v>90</v>
      </c>
      <c r="Q15" s="76">
        <f t="shared" si="0"/>
        <v>30</v>
      </c>
      <c r="R15" s="19">
        <f t="shared" si="1"/>
        <v>249</v>
      </c>
      <c r="S15" s="83">
        <f>135+Q15</f>
        <v>165</v>
      </c>
      <c r="T15" s="83">
        <v>115</v>
      </c>
      <c r="U15" s="83">
        <v>42</v>
      </c>
      <c r="V15" s="83">
        <v>84</v>
      </c>
      <c r="W15" s="84" t="s">
        <v>13</v>
      </c>
      <c r="X15" s="85">
        <v>15</v>
      </c>
      <c r="Y15" s="86">
        <v>35</v>
      </c>
      <c r="Z15" s="21">
        <f>18.59+((Q15/100)*6.23)</f>
        <v>20.459</v>
      </c>
      <c r="AA15" s="25">
        <f>((3.1416*(P15*P15))/4)*(E23/100)</f>
        <v>12723.48</v>
      </c>
      <c r="AB15" s="26">
        <f t="shared" si="2"/>
        <v>0.19085219999999997</v>
      </c>
    </row>
    <row r="16" spans="1:28" ht="16.5" customHeight="1" thickBot="1">
      <c r="A16" s="99"/>
      <c r="B16" s="100"/>
      <c r="C16" s="101"/>
      <c r="D16" s="102"/>
      <c r="E16" s="102"/>
      <c r="F16" s="103"/>
      <c r="G16" s="104"/>
      <c r="H16" s="104"/>
      <c r="I16" s="104"/>
      <c r="J16" s="104"/>
      <c r="K16" s="104"/>
      <c r="L16" s="104"/>
      <c r="M16" s="105"/>
      <c r="N16" s="49"/>
      <c r="O16" s="87" t="s">
        <v>79</v>
      </c>
      <c r="P16" s="88">
        <v>100</v>
      </c>
      <c r="Q16" s="89">
        <f t="shared" si="0"/>
        <v>30</v>
      </c>
      <c r="R16" s="33">
        <f t="shared" si="1"/>
        <v>266</v>
      </c>
      <c r="S16" s="90">
        <f>130+Q16</f>
        <v>160</v>
      </c>
      <c r="T16" s="90">
        <v>130</v>
      </c>
      <c r="U16" s="90">
        <v>43</v>
      </c>
      <c r="V16" s="90">
        <v>106</v>
      </c>
      <c r="W16" s="91" t="s">
        <v>13</v>
      </c>
      <c r="X16" s="92">
        <v>15</v>
      </c>
      <c r="Y16" s="93">
        <v>30</v>
      </c>
      <c r="Z16" s="36">
        <f>23.76+((Q16/100)*7.54)</f>
        <v>26.022000000000002</v>
      </c>
      <c r="AA16" s="40">
        <f>((3.1416*(P16*P16))/4)*(E23/100)</f>
        <v>15708</v>
      </c>
      <c r="AB16" s="41">
        <f t="shared" si="2"/>
        <v>0.23562</v>
      </c>
    </row>
    <row r="17" spans="1:28" ht="15.75">
      <c r="A17" s="99"/>
      <c r="B17" s="100"/>
      <c r="C17" s="101"/>
      <c r="D17" s="102"/>
      <c r="E17" s="102"/>
      <c r="F17" s="103"/>
      <c r="G17" s="104"/>
      <c r="H17" s="104"/>
      <c r="I17" s="104"/>
      <c r="J17" s="104"/>
      <c r="K17" s="104"/>
      <c r="L17" s="104"/>
      <c r="M17" s="105"/>
      <c r="N17" s="49"/>
    </row>
    <row r="18" spans="1:28" ht="18.75">
      <c r="A18" s="99"/>
      <c r="B18" s="100"/>
      <c r="C18" s="101"/>
      <c r="D18" s="102"/>
      <c r="E18" s="102"/>
      <c r="F18" s="103"/>
      <c r="G18" s="104"/>
      <c r="H18" s="104"/>
      <c r="I18" s="104"/>
      <c r="J18" s="104"/>
      <c r="K18" s="104"/>
      <c r="L18" s="104"/>
      <c r="M18" s="105"/>
      <c r="N18" s="49"/>
      <c r="O18" s="2"/>
      <c r="Q18" s="94" t="s">
        <v>90</v>
      </c>
      <c r="R18" s="94"/>
      <c r="S18" s="94"/>
      <c r="T18" s="95">
        <f>AB2</f>
        <v>9.4247999999999988E-3</v>
      </c>
      <c r="U18" s="96" t="s">
        <v>91</v>
      </c>
      <c r="V18" s="97"/>
    </row>
    <row r="19" spans="1:28" ht="15.75">
      <c r="A19" s="99"/>
      <c r="B19" s="100"/>
      <c r="C19" s="101"/>
      <c r="D19" s="102"/>
      <c r="E19" s="102"/>
      <c r="F19" s="103"/>
      <c r="G19" s="104"/>
      <c r="H19" s="104"/>
      <c r="I19" s="104"/>
      <c r="J19" s="104"/>
      <c r="K19" s="104"/>
      <c r="L19" s="104"/>
      <c r="M19" s="105"/>
      <c r="N19" s="49"/>
      <c r="O19" s="2"/>
    </row>
    <row r="20" spans="1:28" ht="15.75">
      <c r="A20" s="99"/>
      <c r="B20" s="100"/>
      <c r="C20" s="101"/>
      <c r="D20" s="102"/>
      <c r="E20" s="102"/>
      <c r="F20" s="103"/>
      <c r="G20" s="104"/>
      <c r="H20" s="104"/>
      <c r="I20" s="104"/>
      <c r="J20" s="104"/>
      <c r="K20" s="104"/>
      <c r="L20" s="104"/>
      <c r="M20" s="105"/>
      <c r="N20" s="49"/>
      <c r="O20" s="2"/>
    </row>
    <row r="21" spans="1:28" ht="15.75">
      <c r="A21" s="293" t="s">
        <v>18</v>
      </c>
      <c r="B21" s="294"/>
      <c r="C21" s="293" t="s">
        <v>0</v>
      </c>
      <c r="D21" s="294"/>
      <c r="E21" s="293" t="s">
        <v>171</v>
      </c>
      <c r="F21" s="294"/>
      <c r="G21" s="293" t="s">
        <v>172</v>
      </c>
      <c r="H21" s="294"/>
      <c r="I21" s="104"/>
      <c r="J21" s="104"/>
      <c r="K21" s="104"/>
      <c r="L21" s="104"/>
      <c r="M21" s="105"/>
      <c r="N21" s="49"/>
      <c r="O21" s="2"/>
      <c r="S21" s="1"/>
      <c r="T21" s="1"/>
      <c r="U21" s="98"/>
      <c r="V21" s="98"/>
      <c r="W21" s="98"/>
    </row>
    <row r="22" spans="1:28" s="48" customFormat="1" ht="15.75" customHeight="1">
      <c r="A22" s="295"/>
      <c r="B22" s="296"/>
      <c r="C22" s="295"/>
      <c r="D22" s="296"/>
      <c r="E22" s="295"/>
      <c r="F22" s="296"/>
      <c r="G22" s="295"/>
      <c r="H22" s="296"/>
      <c r="I22" s="55" t="str">
        <f>IF(G24&gt;0.5,"Attention, la vitesse linéaire pour un vérin STD est dépassée."," "  )</f>
        <v xml:space="preserve"> </v>
      </c>
      <c r="J22" s="103"/>
      <c r="K22" s="103"/>
      <c r="L22" s="103"/>
      <c r="M22" s="106"/>
      <c r="X22" s="98"/>
      <c r="Y22" s="98"/>
      <c r="Z22" s="98"/>
      <c r="AA22" s="98"/>
      <c r="AB22" s="98"/>
    </row>
    <row r="23" spans="1:28" s="48" customFormat="1" ht="15.75" customHeight="1">
      <c r="A23" s="265">
        <v>20</v>
      </c>
      <c r="B23" s="117" t="s">
        <v>26</v>
      </c>
      <c r="C23" s="264">
        <v>30</v>
      </c>
      <c r="D23" s="117" t="s">
        <v>26</v>
      </c>
      <c r="E23" s="264">
        <v>200</v>
      </c>
      <c r="F23" s="117" t="s">
        <v>95</v>
      </c>
      <c r="G23" s="264">
        <v>3</v>
      </c>
      <c r="H23" s="117" t="s">
        <v>98</v>
      </c>
      <c r="I23" s="50" t="str">
        <f>IF(C23&gt;999,"Attention, vérifier la préconisation d'un guidage renforcé.","  ")</f>
        <v xml:space="preserve">  </v>
      </c>
      <c r="J23" s="103"/>
      <c r="K23" s="103"/>
      <c r="L23" s="103"/>
      <c r="M23" s="106"/>
    </row>
    <row r="24" spans="1:28" s="48" customFormat="1" ht="17.25">
      <c r="A24" s="286" t="s">
        <v>92</v>
      </c>
      <c r="B24" s="287"/>
      <c r="C24" s="120">
        <f>T18/(G23/60)</f>
        <v>0.18849599999999997</v>
      </c>
      <c r="D24" s="121" t="s">
        <v>186</v>
      </c>
      <c r="E24" s="286" t="s">
        <v>179</v>
      </c>
      <c r="F24" s="287"/>
      <c r="G24" s="120">
        <f>(C23/C24)/1000</f>
        <v>0.15915457091927684</v>
      </c>
      <c r="H24" s="121" t="s">
        <v>96</v>
      </c>
      <c r="I24" s="50" t="str">
        <f>IF(E23&gt;200,"Attention, pression maxi 200 bars."," "  )</f>
        <v xml:space="preserve"> </v>
      </c>
      <c r="J24" s="103"/>
      <c r="K24" s="103"/>
      <c r="L24" s="103"/>
      <c r="M24" s="106"/>
    </row>
    <row r="25" spans="1:28" s="48" customFormat="1" ht="15.75">
      <c r="A25" s="103"/>
      <c r="B25" s="103"/>
      <c r="C25" s="103"/>
      <c r="D25" s="103"/>
      <c r="E25" s="103"/>
      <c r="F25" s="104"/>
      <c r="G25" s="104"/>
      <c r="H25" s="103"/>
      <c r="I25" s="103"/>
      <c r="J25" s="103"/>
      <c r="K25" s="103"/>
      <c r="L25" s="103"/>
      <c r="M25" s="106"/>
    </row>
    <row r="26" spans="1:28" s="48" customFormat="1" ht="18.75">
      <c r="A26" s="107" t="s">
        <v>256</v>
      </c>
      <c r="B26" s="108"/>
      <c r="C26" s="108"/>
      <c r="D26" s="108"/>
      <c r="E26" s="108"/>
      <c r="F26" s="108"/>
      <c r="G26" s="108"/>
      <c r="H26" s="109"/>
      <c r="I26" s="110"/>
      <c r="J26" s="106"/>
      <c r="K26" s="106"/>
      <c r="L26" s="106"/>
      <c r="M26" s="106"/>
    </row>
    <row r="27" spans="1:28" ht="18.75">
      <c r="A27" s="111"/>
      <c r="B27" s="112"/>
      <c r="C27" s="111"/>
      <c r="D27" s="111"/>
      <c r="E27" s="111"/>
      <c r="F27" s="111"/>
      <c r="G27" s="111"/>
      <c r="H27" s="111"/>
      <c r="I27" s="111"/>
      <c r="J27" s="112"/>
      <c r="K27" s="112"/>
      <c r="L27" s="112"/>
      <c r="M27" s="112"/>
    </row>
    <row r="28" spans="1:28" ht="18.75">
      <c r="A28" s="111"/>
      <c r="B28" s="111"/>
      <c r="C28" s="111"/>
      <c r="D28" s="111"/>
      <c r="E28" s="111"/>
      <c r="F28" s="111"/>
      <c r="G28" s="111"/>
      <c r="H28" s="111"/>
      <c r="I28" s="111"/>
      <c r="J28" s="112"/>
      <c r="K28" s="112"/>
      <c r="L28" s="112"/>
      <c r="M28" s="112"/>
    </row>
    <row r="29" spans="1:28" ht="18.75">
      <c r="A29" s="111"/>
      <c r="B29" s="111"/>
      <c r="C29" s="111"/>
      <c r="D29" s="111"/>
      <c r="E29" s="111"/>
      <c r="F29" s="111"/>
      <c r="G29" s="111"/>
      <c r="H29" s="111"/>
      <c r="I29" s="111"/>
      <c r="J29" s="112"/>
      <c r="K29" s="112"/>
      <c r="L29" s="112"/>
      <c r="M29" s="112"/>
    </row>
    <row r="30" spans="1:28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28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28" ht="15">
      <c r="A32" s="114" t="s">
        <v>270</v>
      </c>
    </row>
    <row r="33" spans="1:1" ht="15">
      <c r="A33" s="114" t="s">
        <v>271</v>
      </c>
    </row>
  </sheetData>
  <sheetProtection password="9494" sheet="1" objects="1" scenarios="1" selectLockedCells="1"/>
  <mergeCells count="8">
    <mergeCell ref="A24:B24"/>
    <mergeCell ref="P4:X4"/>
    <mergeCell ref="O3:O4"/>
    <mergeCell ref="E24:F24"/>
    <mergeCell ref="A21:B22"/>
    <mergeCell ref="C21:D22"/>
    <mergeCell ref="E21:F22"/>
    <mergeCell ref="G21:H22"/>
  </mergeCells>
  <phoneticPr fontId="1" type="noConversion"/>
  <dataValidations count="4"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3">
      <formula1>$P$5:$P$16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3">
      <formula1>1001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3">
      <formula1>201</formula1>
    </dataValidation>
    <dataValidation type="decimal" errorStyle="warning" operator="greaterThan" allowBlank="1" showInputMessage="1" showErrorMessage="1" error="Attention la vitesse maximum de sortie de tiges est atteinte" sqref="G24">
      <formula1>0.5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2"/>
  <sheetViews>
    <sheetView zoomScale="80" zoomScaleNormal="80" workbookViewId="0">
      <selection activeCell="D35" sqref="D35"/>
    </sheetView>
  </sheetViews>
  <sheetFormatPr baseColWidth="10" defaultRowHeight="15.75"/>
  <cols>
    <col min="1" max="2" width="9.7109375" style="106" customWidth="1"/>
    <col min="3" max="3" width="13.7109375" style="106" bestFit="1" customWidth="1"/>
    <col min="4" max="4" width="11.28515625" style="106" customWidth="1"/>
    <col min="5" max="5" width="9.7109375" style="106" customWidth="1"/>
    <col min="6" max="6" width="11.7109375" style="106" customWidth="1"/>
    <col min="7" max="7" width="9.7109375" style="106" customWidth="1"/>
    <col min="8" max="8" width="12.7109375" style="106" customWidth="1"/>
    <col min="9" max="9" width="17" style="106" customWidth="1"/>
    <col min="10" max="10" width="5.7109375" style="106" customWidth="1"/>
    <col min="11" max="11" width="9.7109375" style="106" customWidth="1"/>
    <col min="12" max="12" width="9.28515625" style="106" customWidth="1"/>
    <col min="13" max="13" width="9.42578125" style="106" customWidth="1"/>
    <col min="14" max="14" width="11.42578125" style="106" customWidth="1"/>
    <col min="15" max="16" width="11.42578125" style="106" hidden="1" customWidth="1"/>
    <col min="17" max="17" width="13.28515625" style="125" hidden="1" customWidth="1"/>
    <col min="18" max="19" width="9.42578125" style="105" hidden="1" customWidth="1"/>
    <col min="20" max="20" width="7.85546875" style="126" hidden="1" customWidth="1"/>
    <col min="21" max="21" width="5.85546875" style="106" hidden="1" customWidth="1"/>
    <col min="22" max="22" width="9" style="105" hidden="1" customWidth="1"/>
    <col min="23" max="23" width="8.85546875" style="105" hidden="1" customWidth="1"/>
    <col min="24" max="24" width="6" style="127" hidden="1" customWidth="1"/>
    <col min="25" max="25" width="6" style="105" hidden="1" customWidth="1"/>
    <col min="26" max="28" width="6" style="127" hidden="1" customWidth="1"/>
    <col min="29" max="29" width="6.7109375" style="127" hidden="1" customWidth="1"/>
    <col min="30" max="30" width="4.42578125" style="127" hidden="1" customWidth="1"/>
    <col min="31" max="31" width="4.28515625" style="128" hidden="1" customWidth="1"/>
    <col min="32" max="32" width="3.7109375" style="128" hidden="1" customWidth="1"/>
    <col min="33" max="33" width="9" style="128" hidden="1" customWidth="1"/>
    <col min="34" max="34" width="9.5703125" style="106" hidden="1" customWidth="1"/>
    <col min="35" max="35" width="9.28515625" style="106" hidden="1" customWidth="1"/>
    <col min="36" max="36" width="9.42578125" style="106" hidden="1" customWidth="1"/>
    <col min="37" max="37" width="7.85546875" style="106" hidden="1" customWidth="1"/>
    <col min="38" max="38" width="7.28515625" style="106" hidden="1" customWidth="1"/>
    <col min="39" max="39" width="5.28515625" style="106" hidden="1" customWidth="1"/>
    <col min="40" max="40" width="11.42578125" style="106" hidden="1" customWidth="1"/>
    <col min="41" max="16384" width="11.42578125" style="106"/>
  </cols>
  <sheetData>
    <row r="1" spans="17:33" ht="15" customHeight="1"/>
    <row r="2" spans="17:33" ht="15" customHeight="1"/>
    <row r="3" spans="17:33" ht="15" customHeight="1"/>
    <row r="4" spans="17:33" ht="15" customHeight="1"/>
    <row r="5" spans="17:33" ht="15" customHeight="1"/>
    <row r="6" spans="17:33" ht="15" customHeight="1">
      <c r="Q6" s="106"/>
      <c r="R6" s="106"/>
      <c r="S6" s="106"/>
      <c r="T6" s="106"/>
      <c r="V6" s="106"/>
      <c r="W6" s="106"/>
      <c r="X6" s="110"/>
      <c r="Y6" s="106"/>
      <c r="Z6" s="110"/>
      <c r="AA6" s="110"/>
      <c r="AB6" s="110"/>
      <c r="AC6" s="110"/>
      <c r="AD6" s="110"/>
      <c r="AE6" s="106"/>
      <c r="AF6" s="106"/>
      <c r="AG6" s="106"/>
    </row>
    <row r="7" spans="17:33" ht="15" customHeight="1">
      <c r="Q7" s="106"/>
      <c r="R7" s="106"/>
      <c r="S7" s="106"/>
      <c r="T7" s="106"/>
      <c r="V7" s="106"/>
      <c r="W7" s="106"/>
      <c r="X7" s="110"/>
      <c r="Y7" s="106"/>
      <c r="Z7" s="110"/>
      <c r="AA7" s="110"/>
      <c r="AB7" s="110"/>
      <c r="AC7" s="110"/>
      <c r="AD7" s="110"/>
      <c r="AE7" s="106"/>
      <c r="AF7" s="106"/>
      <c r="AG7" s="106"/>
    </row>
    <row r="8" spans="17:33" ht="15" customHeight="1">
      <c r="Q8" s="106"/>
      <c r="R8" s="106"/>
      <c r="S8" s="106"/>
      <c r="T8" s="106"/>
      <c r="V8" s="106"/>
      <c r="W8" s="106"/>
      <c r="X8" s="110"/>
      <c r="Y8" s="106"/>
      <c r="Z8" s="110"/>
      <c r="AA8" s="110"/>
      <c r="AB8" s="110"/>
      <c r="AC8" s="110"/>
      <c r="AD8" s="110"/>
      <c r="AE8" s="106"/>
      <c r="AF8" s="106"/>
      <c r="AG8" s="106"/>
    </row>
    <row r="9" spans="17:33" ht="15" customHeight="1">
      <c r="Q9" s="106"/>
      <c r="R9" s="106"/>
      <c r="S9" s="106"/>
      <c r="T9" s="106"/>
      <c r="V9" s="106"/>
      <c r="W9" s="106"/>
      <c r="X9" s="110"/>
      <c r="Y9" s="106"/>
      <c r="Z9" s="110"/>
      <c r="AA9" s="110"/>
      <c r="AB9" s="110"/>
      <c r="AC9" s="110"/>
      <c r="AD9" s="110"/>
      <c r="AE9" s="106"/>
      <c r="AF9" s="106"/>
      <c r="AG9" s="106"/>
    </row>
    <row r="10" spans="17:33" ht="15" customHeight="1">
      <c r="Q10" s="106"/>
      <c r="R10" s="106"/>
      <c r="S10" s="106"/>
      <c r="T10" s="106"/>
      <c r="V10" s="106"/>
      <c r="W10" s="106"/>
      <c r="X10" s="110"/>
      <c r="Y10" s="106"/>
      <c r="Z10" s="110"/>
      <c r="AA10" s="110"/>
      <c r="AB10" s="110"/>
      <c r="AC10" s="110"/>
      <c r="AD10" s="110"/>
      <c r="AE10" s="106"/>
      <c r="AF10" s="106"/>
      <c r="AG10" s="106"/>
    </row>
    <row r="11" spans="17:33" ht="15" customHeight="1">
      <c r="Q11" s="106"/>
      <c r="R11" s="106"/>
      <c r="S11" s="106"/>
      <c r="T11" s="106"/>
      <c r="V11" s="106"/>
      <c r="W11" s="106"/>
      <c r="X11" s="110"/>
      <c r="Y11" s="106"/>
      <c r="Z11" s="110"/>
      <c r="AA11" s="110"/>
      <c r="AB11" s="110"/>
      <c r="AC11" s="110"/>
      <c r="AD11" s="110"/>
      <c r="AE11" s="106"/>
      <c r="AF11" s="106"/>
      <c r="AG11" s="106"/>
    </row>
    <row r="12" spans="17:33" ht="15" customHeight="1">
      <c r="Q12" s="106"/>
      <c r="R12" s="106"/>
      <c r="S12" s="106"/>
      <c r="T12" s="106"/>
      <c r="V12" s="106"/>
      <c r="W12" s="106"/>
      <c r="X12" s="110"/>
      <c r="Y12" s="106"/>
      <c r="Z12" s="110"/>
      <c r="AA12" s="110"/>
      <c r="AB12" s="110"/>
      <c r="AC12" s="110"/>
      <c r="AD12" s="110"/>
      <c r="AE12" s="106"/>
      <c r="AF12" s="106"/>
      <c r="AG12" s="106"/>
    </row>
    <row r="13" spans="17:33" ht="15" customHeight="1">
      <c r="Q13" s="106"/>
      <c r="R13" s="106"/>
      <c r="S13" s="106"/>
      <c r="T13" s="106"/>
      <c r="V13" s="106"/>
      <c r="W13" s="106"/>
      <c r="X13" s="110"/>
      <c r="Y13" s="106"/>
      <c r="Z13" s="110"/>
      <c r="AA13" s="110"/>
      <c r="AB13" s="110"/>
      <c r="AC13" s="110"/>
      <c r="AD13" s="110"/>
      <c r="AE13" s="106"/>
      <c r="AF13" s="106"/>
      <c r="AG13" s="106"/>
    </row>
    <row r="14" spans="17:33" ht="15" customHeight="1">
      <c r="Q14" s="106"/>
      <c r="R14" s="106"/>
      <c r="S14" s="106"/>
      <c r="T14" s="106"/>
      <c r="V14" s="106"/>
      <c r="W14" s="106"/>
      <c r="X14" s="110"/>
      <c r="Y14" s="106"/>
      <c r="Z14" s="110"/>
      <c r="AA14" s="110"/>
      <c r="AB14" s="110"/>
      <c r="AC14" s="110"/>
      <c r="AD14" s="110"/>
      <c r="AE14" s="106"/>
      <c r="AF14" s="106"/>
      <c r="AG14" s="106"/>
    </row>
    <row r="15" spans="17:33" ht="15" customHeight="1">
      <c r="Q15" s="106"/>
      <c r="R15" s="106"/>
      <c r="S15" s="106"/>
      <c r="T15" s="106"/>
      <c r="V15" s="106"/>
      <c r="W15" s="106"/>
      <c r="X15" s="110"/>
      <c r="Y15" s="106"/>
      <c r="Z15" s="110"/>
      <c r="AA15" s="110"/>
      <c r="AB15" s="110"/>
      <c r="AC15" s="110"/>
      <c r="AD15" s="110"/>
      <c r="AE15" s="106"/>
      <c r="AF15" s="106"/>
      <c r="AG15" s="106"/>
    </row>
    <row r="16" spans="17:33" ht="15" customHeight="1">
      <c r="Q16" s="106"/>
      <c r="R16" s="106"/>
      <c r="S16" s="106"/>
      <c r="T16" s="106"/>
      <c r="V16" s="106"/>
      <c r="W16" s="106"/>
      <c r="X16" s="110"/>
      <c r="Y16" s="106"/>
      <c r="Z16" s="110"/>
      <c r="AA16" s="110"/>
      <c r="AB16" s="110"/>
      <c r="AC16" s="110"/>
      <c r="AD16" s="110"/>
      <c r="AE16" s="106"/>
      <c r="AF16" s="106"/>
      <c r="AG16" s="106"/>
    </row>
    <row r="17" spans="1:39" ht="15" customHeight="1">
      <c r="Q17" s="106"/>
      <c r="R17" s="106"/>
      <c r="S17" s="106"/>
      <c r="T17" s="106"/>
      <c r="V17" s="106"/>
      <c r="W17" s="106"/>
      <c r="X17" s="110"/>
      <c r="Y17" s="106"/>
      <c r="Z17" s="110"/>
      <c r="AA17" s="110"/>
      <c r="AB17" s="110"/>
      <c r="AC17" s="110"/>
      <c r="AD17" s="110"/>
      <c r="AE17" s="106"/>
      <c r="AF17" s="106"/>
      <c r="AG17" s="106"/>
    </row>
    <row r="18" spans="1:39" ht="15" customHeight="1">
      <c r="Q18" s="106"/>
      <c r="R18" s="106"/>
      <c r="S18" s="106"/>
      <c r="T18" s="106"/>
      <c r="V18" s="106"/>
      <c r="W18" s="106"/>
      <c r="X18" s="110"/>
      <c r="Y18" s="106"/>
      <c r="Z18" s="110"/>
      <c r="AA18" s="110"/>
      <c r="AB18" s="110"/>
      <c r="AC18" s="110"/>
      <c r="AD18" s="110"/>
      <c r="AE18" s="106"/>
      <c r="AF18" s="106"/>
      <c r="AG18" s="106"/>
    </row>
    <row r="19" spans="1:39" s="129" customFormat="1" ht="1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X19" s="130"/>
      <c r="Z19" s="130"/>
      <c r="AA19" s="130"/>
      <c r="AB19" s="130"/>
      <c r="AC19" s="130"/>
      <c r="AD19" s="130"/>
    </row>
    <row r="20" spans="1:39" s="129" customFormat="1" ht="1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X20" s="130"/>
      <c r="Z20" s="130"/>
      <c r="AA20" s="130"/>
      <c r="AB20" s="130"/>
      <c r="AC20" s="130"/>
      <c r="AD20" s="130"/>
    </row>
    <row r="21" spans="1:39" s="129" customFormat="1" ht="15" customHeight="1">
      <c r="A21" s="293" t="s">
        <v>18</v>
      </c>
      <c r="B21" s="294"/>
      <c r="C21" s="293" t="s">
        <v>0</v>
      </c>
      <c r="D21" s="294"/>
      <c r="E21" s="293" t="s">
        <v>171</v>
      </c>
      <c r="F21" s="294"/>
      <c r="G21" s="293" t="s">
        <v>172</v>
      </c>
      <c r="H21" s="294"/>
      <c r="I21" s="106"/>
      <c r="J21" s="106"/>
      <c r="K21" s="106"/>
      <c r="L21" s="106"/>
      <c r="M21" s="106"/>
      <c r="N21" s="106"/>
      <c r="O21" s="106"/>
      <c r="P21" s="106"/>
      <c r="X21" s="130"/>
      <c r="Z21" s="130"/>
      <c r="AA21" s="130"/>
      <c r="AB21" s="130"/>
      <c r="AC21" s="130"/>
      <c r="AD21" s="130"/>
    </row>
    <row r="22" spans="1:39" ht="21" customHeight="1">
      <c r="A22" s="295"/>
      <c r="B22" s="296"/>
      <c r="C22" s="295"/>
      <c r="D22" s="296"/>
      <c r="E22" s="295"/>
      <c r="F22" s="296"/>
      <c r="G22" s="295"/>
      <c r="H22" s="296"/>
      <c r="I22" s="131" t="str">
        <f>IF(C25&gt;0.5,"La vitesse linéaire de sortie du vérin STD est dépassée."," "  )</f>
        <v xml:space="preserve"> </v>
      </c>
      <c r="Q22" s="106"/>
      <c r="R22" s="106"/>
      <c r="S22" s="106"/>
      <c r="T22" s="106"/>
      <c r="V22" s="106"/>
      <c r="W22" s="106"/>
      <c r="X22" s="110"/>
      <c r="Y22" s="106"/>
      <c r="Z22" s="110"/>
      <c r="AA22" s="110"/>
      <c r="AB22" s="110"/>
      <c r="AC22" s="110"/>
      <c r="AD22" s="110"/>
      <c r="AE22" s="106"/>
      <c r="AF22" s="106"/>
      <c r="AG22" s="106"/>
    </row>
    <row r="23" spans="1:39" ht="17.25">
      <c r="A23" s="300" t="s">
        <v>135</v>
      </c>
      <c r="B23" s="301"/>
      <c r="C23" s="264">
        <v>315</v>
      </c>
      <c r="D23" s="117" t="s">
        <v>26</v>
      </c>
      <c r="E23" s="264">
        <v>125</v>
      </c>
      <c r="F23" s="117" t="s">
        <v>174</v>
      </c>
      <c r="G23" s="264">
        <v>6</v>
      </c>
      <c r="H23" s="117" t="s">
        <v>173</v>
      </c>
      <c r="I23" s="131" t="str">
        <f>IF(G25&gt;0.5,"La vitesse linéaire de rentrée du vérin STD est dépassée."," "  )</f>
        <v xml:space="preserve"> </v>
      </c>
      <c r="Q23" s="106"/>
      <c r="R23" s="106"/>
      <c r="S23" s="106"/>
      <c r="T23" s="106"/>
      <c r="V23" s="106"/>
      <c r="W23" s="106"/>
      <c r="X23" s="110"/>
      <c r="Y23" s="106"/>
      <c r="Z23" s="110"/>
      <c r="AA23" s="110"/>
      <c r="AB23" s="110"/>
      <c r="AC23" s="110"/>
      <c r="AD23" s="110"/>
      <c r="AE23" s="106"/>
      <c r="AF23" s="106"/>
      <c r="AG23" s="106"/>
    </row>
    <row r="24" spans="1:39" ht="17.25">
      <c r="A24" s="298" t="s">
        <v>92</v>
      </c>
      <c r="B24" s="299"/>
      <c r="C24" s="118">
        <f>(R97*60)/G23</f>
        <v>6.1850250000000004</v>
      </c>
      <c r="D24" s="119" t="s">
        <v>93</v>
      </c>
      <c r="E24" s="298" t="s">
        <v>168</v>
      </c>
      <c r="F24" s="299"/>
      <c r="G24" s="118">
        <f>(U97*60)/G23</f>
        <v>3.1543627500000007</v>
      </c>
      <c r="H24" s="119" t="s">
        <v>93</v>
      </c>
      <c r="I24" s="132" t="str">
        <f>IF(C23&gt;999,"Attention, vérifier la préconisation d'un guidage renforcé.","  ")</f>
        <v xml:space="preserve">  </v>
      </c>
      <c r="J24" s="133"/>
      <c r="K24" s="133"/>
      <c r="L24" s="133"/>
      <c r="M24" s="133"/>
      <c r="N24" s="133"/>
      <c r="O24" s="133"/>
      <c r="P24" s="133"/>
    </row>
    <row r="25" spans="1:39" ht="17.25">
      <c r="A25" s="286" t="s">
        <v>176</v>
      </c>
      <c r="B25" s="287"/>
      <c r="C25" s="120">
        <f>(C23/1000)/C24</f>
        <v>5.0929462694168572E-2</v>
      </c>
      <c r="D25" s="121" t="s">
        <v>96</v>
      </c>
      <c r="E25" s="286" t="s">
        <v>177</v>
      </c>
      <c r="F25" s="287"/>
      <c r="G25" s="120">
        <f>(C23/1000)/G24</f>
        <v>9.9861691557193266E-2</v>
      </c>
      <c r="H25" s="121" t="s">
        <v>96</v>
      </c>
      <c r="I25" s="134" t="str">
        <f>IF(E23&gt;200,"Attention, pression maxi 200 bars."," "  )</f>
        <v xml:space="preserve"> </v>
      </c>
    </row>
    <row r="26" spans="1:39" hidden="1">
      <c r="A26" s="135"/>
      <c r="B26" s="135"/>
      <c r="C26" s="108"/>
      <c r="D26" s="108"/>
      <c r="E26" s="108"/>
      <c r="F26" s="109"/>
      <c r="G26" s="136"/>
      <c r="H26" s="137"/>
      <c r="I26" s="134"/>
      <c r="L26" s="110"/>
      <c r="M26" s="110"/>
      <c r="N26" s="110"/>
      <c r="O26" s="110"/>
      <c r="P26" s="110"/>
    </row>
    <row r="27" spans="1:39" hidden="1">
      <c r="A27" s="108"/>
      <c r="B27" s="108"/>
      <c r="C27" s="138"/>
      <c r="D27" s="138"/>
      <c r="E27" s="138"/>
      <c r="F27" s="138"/>
      <c r="G27" s="139"/>
      <c r="H27" s="140"/>
      <c r="L27" s="110"/>
      <c r="M27" s="110"/>
      <c r="N27" s="110"/>
      <c r="O27" s="110"/>
      <c r="P27" s="110"/>
      <c r="Q27" s="105"/>
      <c r="S27" s="126"/>
      <c r="T27" s="106"/>
      <c r="U27" s="105"/>
      <c r="AD27" s="141"/>
      <c r="AG27" s="106"/>
      <c r="AM27" s="108"/>
    </row>
    <row r="28" spans="1:39" hidden="1">
      <c r="A28" s="108"/>
      <c r="B28" s="108"/>
      <c r="C28" s="138"/>
      <c r="D28" s="138"/>
      <c r="E28" s="138"/>
      <c r="F28" s="138"/>
      <c r="G28" s="142"/>
      <c r="H28" s="140"/>
      <c r="L28" s="110"/>
      <c r="M28" s="110"/>
      <c r="N28" s="110"/>
      <c r="O28" s="110"/>
      <c r="P28" s="110"/>
      <c r="Q28" s="105"/>
      <c r="S28" s="126"/>
      <c r="T28" s="106"/>
      <c r="U28" s="105"/>
      <c r="AD28" s="141"/>
      <c r="AG28" s="106"/>
      <c r="AM28" s="108"/>
    </row>
    <row r="29" spans="1:39" hidden="1">
      <c r="A29" s="108"/>
      <c r="B29" s="108"/>
      <c r="C29" s="138"/>
      <c r="D29" s="138"/>
      <c r="E29" s="138"/>
      <c r="F29" s="138"/>
      <c r="G29" s="142"/>
      <c r="H29" s="140"/>
      <c r="L29" s="110"/>
      <c r="M29" s="110"/>
      <c r="N29" s="110"/>
      <c r="O29" s="110"/>
      <c r="P29" s="110"/>
      <c r="Q29" s="105"/>
      <c r="S29" s="126"/>
      <c r="T29" s="106"/>
      <c r="U29" s="105"/>
      <c r="AD29" s="141"/>
      <c r="AG29" s="106"/>
      <c r="AM29" s="108"/>
    </row>
    <row r="30" spans="1:39" hidden="1">
      <c r="A30" s="109"/>
      <c r="B30" s="108"/>
      <c r="C30" s="108"/>
      <c r="D30" s="108"/>
      <c r="J30" s="110"/>
      <c r="K30" s="110"/>
      <c r="L30" s="110"/>
      <c r="M30" s="110"/>
      <c r="N30" s="110"/>
      <c r="O30" s="110"/>
      <c r="P30" s="110"/>
    </row>
    <row r="31" spans="1:39">
      <c r="A31" s="109"/>
      <c r="B31" s="108"/>
      <c r="C31" s="108"/>
      <c r="D31" s="108"/>
      <c r="J31" s="110"/>
      <c r="K31" s="110"/>
      <c r="L31" s="109"/>
      <c r="M31" s="109"/>
      <c r="N31" s="109"/>
      <c r="O31" s="109"/>
      <c r="P31" s="109"/>
      <c r="Q31" s="125">
        <v>1</v>
      </c>
      <c r="R31" s="125">
        <v>2</v>
      </c>
      <c r="S31" s="125">
        <v>3</v>
      </c>
      <c r="T31" s="125">
        <v>4</v>
      </c>
      <c r="U31" s="125">
        <v>5</v>
      </c>
      <c r="V31" s="125">
        <v>6</v>
      </c>
      <c r="W31" s="125">
        <v>7</v>
      </c>
      <c r="X31" s="143">
        <v>8</v>
      </c>
      <c r="Y31" s="125">
        <v>9</v>
      </c>
      <c r="Z31" s="143">
        <v>10</v>
      </c>
      <c r="AA31" s="143">
        <v>11</v>
      </c>
      <c r="AB31" s="143">
        <v>12</v>
      </c>
      <c r="AC31" s="143">
        <v>13</v>
      </c>
      <c r="AD31" s="143">
        <v>14</v>
      </c>
      <c r="AE31" s="125">
        <v>15</v>
      </c>
      <c r="AF31" s="125">
        <v>16</v>
      </c>
      <c r="AG31" s="125">
        <v>17</v>
      </c>
      <c r="AH31" s="125">
        <v>18</v>
      </c>
      <c r="AI31" s="125">
        <v>19</v>
      </c>
      <c r="AJ31" s="125">
        <v>20</v>
      </c>
      <c r="AK31" s="125">
        <v>21</v>
      </c>
      <c r="AL31" s="125">
        <v>22</v>
      </c>
    </row>
    <row r="32" spans="1:39" ht="18.75">
      <c r="A32" s="107" t="s">
        <v>256</v>
      </c>
      <c r="B32" s="108"/>
      <c r="C32" s="108"/>
      <c r="D32" s="108"/>
      <c r="E32" s="129"/>
      <c r="F32" s="129"/>
      <c r="G32" s="129"/>
      <c r="H32" s="130"/>
      <c r="J32" s="110"/>
      <c r="K32" s="110"/>
      <c r="L32" s="109"/>
      <c r="M32" s="109"/>
      <c r="N32" s="109"/>
      <c r="O32" s="109"/>
      <c r="P32" s="109"/>
      <c r="U32" s="105">
        <f>VLOOKUP($A$23,$Q$33:$AM$93,5,FALSE)</f>
        <v>200</v>
      </c>
      <c r="V32" s="105">
        <f>VLOOKUP($A$23,$Q$33:$AM$93,6,FALSE)</f>
        <v>515</v>
      </c>
      <c r="W32" s="105">
        <f>VLOOKUP($A$23,$Q$33:$AM$93,7,FALSE)</f>
        <v>60</v>
      </c>
      <c r="X32" s="127">
        <f>VLOOKUP($A$23,$Q$33:$AM$93,8,FALSE)</f>
        <v>53</v>
      </c>
      <c r="Y32" s="105">
        <f>VLOOKUP($A$23,$Q$33:$AM$93,9,FALSE)</f>
        <v>50</v>
      </c>
      <c r="Z32" s="127">
        <f>VLOOKUP($A$23,$Q$33:$AM$93,10,FALSE)</f>
        <v>56</v>
      </c>
      <c r="AA32" s="127">
        <f>VLOOKUP($A$23,$Q$33:$AM$93,11,FALSE)</f>
        <v>25</v>
      </c>
      <c r="AB32" s="127">
        <f>VLOOKUP($A$23,$Q$33:$AM$93,12,FALSE)</f>
        <v>40</v>
      </c>
      <c r="AC32" s="127">
        <f>VLOOKUP($A$23,$Q$33:$AM$93,13,FALSE)</f>
        <v>25.4</v>
      </c>
      <c r="AD32" s="127">
        <f>VLOOKUP($A$23,$Q$33:$AM$93,14,FALSE)</f>
        <v>45</v>
      </c>
      <c r="AE32" s="105" t="str">
        <f>VLOOKUP($A$23,$Q$33:$AM$93,15,FALSE)</f>
        <v>3/8'</v>
      </c>
      <c r="AF32" s="105">
        <f>VLOOKUP($A$23,$Q$33:$AM$93,16,FALSE)</f>
        <v>15</v>
      </c>
      <c r="AG32" s="105">
        <f>VLOOKUP($A$23,$Q$33:$AM$93,17,FALSE)</f>
        <v>356</v>
      </c>
      <c r="AH32" s="144">
        <f>VLOOKUP($A$23,$Q$33:$AM$93,18,FALSE)</f>
        <v>8.03355</v>
      </c>
      <c r="AI32" s="105">
        <f>VLOOKUP($A$23,$Q$33:$AM$93,19,FALSE)</f>
        <v>0.61850249999999996</v>
      </c>
      <c r="AJ32" s="105">
        <f>VLOOKUP($A$23,$Q$33:$AM$93,20,FALSE)</f>
        <v>0.31543627499999999</v>
      </c>
      <c r="AK32" s="105">
        <f>VLOOKUP($A$23,$Q$33:$AM$93,21,FALSE)</f>
        <v>0.30306622499999997</v>
      </c>
      <c r="AL32" s="105">
        <f>VLOOKUP($A$23,$Q$33:$AM$93,22,FALSE)</f>
        <v>2.3779545825419994</v>
      </c>
    </row>
    <row r="33" spans="1:40" ht="18.75">
      <c r="B33" s="115"/>
      <c r="C33" s="115"/>
      <c r="D33" s="115"/>
      <c r="E33" s="145"/>
      <c r="F33" s="115"/>
      <c r="G33" s="115"/>
      <c r="H33" s="115"/>
      <c r="I33" s="113"/>
      <c r="J33" s="130"/>
      <c r="K33" s="130"/>
      <c r="L33" s="146"/>
      <c r="M33" s="297"/>
      <c r="N33" s="297"/>
      <c r="O33" s="297"/>
      <c r="P33" s="146"/>
      <c r="Q33" s="147" t="s">
        <v>1</v>
      </c>
      <c r="R33" s="148" t="s">
        <v>39</v>
      </c>
      <c r="S33" s="148" t="s">
        <v>40</v>
      </c>
      <c r="T33" s="148" t="s">
        <v>0</v>
      </c>
      <c r="U33" s="148"/>
      <c r="V33" s="148" t="s">
        <v>2</v>
      </c>
      <c r="W33" s="148" t="s">
        <v>3</v>
      </c>
      <c r="X33" s="148" t="s">
        <v>4</v>
      </c>
      <c r="Y33" s="148" t="s">
        <v>5</v>
      </c>
      <c r="Z33" s="148" t="s">
        <v>6</v>
      </c>
      <c r="AA33" s="148" t="s">
        <v>7</v>
      </c>
      <c r="AB33" s="148" t="s">
        <v>8</v>
      </c>
      <c r="AC33" s="148" t="s">
        <v>9</v>
      </c>
      <c r="AD33" s="148" t="s">
        <v>10</v>
      </c>
      <c r="AE33" s="149" t="s">
        <v>11</v>
      </c>
      <c r="AF33" s="149" t="s">
        <v>17</v>
      </c>
      <c r="AG33" s="149" t="s">
        <v>19</v>
      </c>
      <c r="AH33" s="149" t="s">
        <v>16</v>
      </c>
      <c r="AI33" s="150" t="s">
        <v>22</v>
      </c>
      <c r="AJ33" s="151"/>
      <c r="AK33" s="151"/>
      <c r="AL33" s="129"/>
      <c r="AM33" s="129"/>
    </row>
    <row r="34" spans="1:40" s="158" customFormat="1" ht="18.75">
      <c r="A34" s="115"/>
      <c r="B34" s="115"/>
      <c r="C34" s="115"/>
      <c r="D34" s="115"/>
      <c r="E34" s="115"/>
      <c r="F34" s="115"/>
      <c r="G34" s="115"/>
      <c r="H34" s="115"/>
      <c r="I34" s="115"/>
      <c r="J34" s="152"/>
      <c r="K34" s="152"/>
      <c r="L34" s="152"/>
      <c r="M34" s="153"/>
      <c r="N34" s="153"/>
      <c r="O34" s="153"/>
      <c r="P34" s="152"/>
      <c r="Q34" s="154" t="s">
        <v>261</v>
      </c>
      <c r="R34" s="116" t="s">
        <v>26</v>
      </c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55" t="s">
        <v>23</v>
      </c>
      <c r="AI34" s="116" t="s">
        <v>24</v>
      </c>
      <c r="AJ34" s="116" t="s">
        <v>25</v>
      </c>
      <c r="AK34" s="116" t="s">
        <v>41</v>
      </c>
      <c r="AL34" s="156" t="s">
        <v>30</v>
      </c>
      <c r="AM34" s="157"/>
    </row>
    <row r="35" spans="1:40" s="158" customFormat="1" ht="18.75">
      <c r="A35" s="152"/>
      <c r="B35" s="152"/>
      <c r="C35" s="115"/>
      <c r="D35" s="159"/>
      <c r="E35" s="160"/>
      <c r="F35" s="160"/>
      <c r="G35" s="160"/>
      <c r="H35" s="161"/>
      <c r="I35" s="161"/>
      <c r="J35" s="152"/>
      <c r="K35" s="162"/>
      <c r="L35" s="162"/>
      <c r="M35" s="163"/>
      <c r="N35" s="162"/>
      <c r="O35" s="162"/>
      <c r="P35" s="162"/>
      <c r="Q35" s="164" t="s">
        <v>140</v>
      </c>
      <c r="R35" s="165">
        <v>32</v>
      </c>
      <c r="S35" s="165">
        <v>16</v>
      </c>
      <c r="T35" s="165">
        <f t="shared" ref="T35:T93" si="0">$C$23</f>
        <v>315</v>
      </c>
      <c r="U35" s="166">
        <v>135</v>
      </c>
      <c r="V35" s="165">
        <f t="shared" ref="V35:V93" si="1">U35+T35</f>
        <v>450</v>
      </c>
      <c r="W35" s="165">
        <v>42</v>
      </c>
      <c r="X35" s="165">
        <v>32</v>
      </c>
      <c r="Y35" s="165">
        <v>40</v>
      </c>
      <c r="Z35" s="165">
        <v>32</v>
      </c>
      <c r="AA35" s="165">
        <v>14</v>
      </c>
      <c r="AB35" s="165">
        <v>28</v>
      </c>
      <c r="AC35" s="165">
        <v>15.25</v>
      </c>
      <c r="AD35" s="165">
        <v>30</v>
      </c>
      <c r="AE35" s="167" t="s">
        <v>12</v>
      </c>
      <c r="AF35" s="168">
        <v>15</v>
      </c>
      <c r="AG35" s="168">
        <f t="shared" ref="AG35:AG93" si="2">V35-X35-Y35-Z35</f>
        <v>346</v>
      </c>
      <c r="AH35" s="169">
        <f>1.4+(0.62*T35/100)</f>
        <v>3.3529999999999998</v>
      </c>
      <c r="AI35" s="170">
        <f t="shared" ref="AI35:AI93" si="3">((3.1416*(R35*R35)/4)*T35)*0.000001</f>
        <v>0.25333862399999996</v>
      </c>
      <c r="AJ35" s="170">
        <f t="shared" ref="AJ35:AJ93" si="4">AI35-(((3.1416*S35*S35)/4)*T35*0.000001)</f>
        <v>0.19000396799999997</v>
      </c>
      <c r="AK35" s="170">
        <f t="shared" ref="AK35:AK93" si="5">AI35-AJ35</f>
        <v>6.3334655999999989E-2</v>
      </c>
      <c r="AL35" s="171">
        <f t="shared" ref="AL35:AL78" si="6">((((3.1416*S35*S35)/4)*T35)*0.0000001)*78.4632</f>
        <v>0.49694397806591994</v>
      </c>
      <c r="AM35" s="158" t="s">
        <v>262</v>
      </c>
      <c r="AN35" s="158" t="s">
        <v>268</v>
      </c>
    </row>
    <row r="36" spans="1:40" s="158" customFormat="1" ht="18.75">
      <c r="A36" s="152"/>
      <c r="B36" s="152"/>
      <c r="C36" s="115"/>
      <c r="D36" s="159"/>
      <c r="E36" s="160"/>
      <c r="F36" s="160"/>
      <c r="G36" s="160"/>
      <c r="H36" s="161"/>
      <c r="I36" s="161"/>
      <c r="J36" s="152"/>
      <c r="K36" s="172"/>
      <c r="L36" s="172"/>
      <c r="M36" s="163"/>
      <c r="N36" s="172"/>
      <c r="O36" s="172"/>
      <c r="P36" s="172"/>
      <c r="Q36" s="164" t="s">
        <v>139</v>
      </c>
      <c r="R36" s="165">
        <v>32</v>
      </c>
      <c r="S36" s="165">
        <v>20</v>
      </c>
      <c r="T36" s="165">
        <f t="shared" si="0"/>
        <v>315</v>
      </c>
      <c r="U36" s="166">
        <v>155</v>
      </c>
      <c r="V36" s="165">
        <f t="shared" si="1"/>
        <v>470</v>
      </c>
      <c r="W36" s="165">
        <v>42</v>
      </c>
      <c r="X36" s="165">
        <v>40</v>
      </c>
      <c r="Y36" s="165">
        <v>40</v>
      </c>
      <c r="Z36" s="165">
        <v>39</v>
      </c>
      <c r="AA36" s="165">
        <v>18</v>
      </c>
      <c r="AB36" s="165">
        <v>30</v>
      </c>
      <c r="AC36" s="165">
        <v>16</v>
      </c>
      <c r="AD36" s="165">
        <v>35</v>
      </c>
      <c r="AE36" s="167" t="s">
        <v>12</v>
      </c>
      <c r="AF36" s="168">
        <v>15</v>
      </c>
      <c r="AG36" s="168">
        <f t="shared" si="2"/>
        <v>351</v>
      </c>
      <c r="AH36" s="169">
        <f>1.4+(0.7*T36/100)</f>
        <v>3.605</v>
      </c>
      <c r="AI36" s="170">
        <f t="shared" si="3"/>
        <v>0.25333862399999996</v>
      </c>
      <c r="AJ36" s="170">
        <f t="shared" si="4"/>
        <v>0.15437822399999995</v>
      </c>
      <c r="AK36" s="170">
        <f t="shared" si="5"/>
        <v>9.8960400000000004E-2</v>
      </c>
      <c r="AL36" s="171">
        <f t="shared" si="6"/>
        <v>0.77647496572800001</v>
      </c>
      <c r="AM36" s="158" t="s">
        <v>262</v>
      </c>
      <c r="AN36" s="158" t="s">
        <v>268</v>
      </c>
    </row>
    <row r="37" spans="1:40" s="158" customFormat="1" ht="18.75">
      <c r="A37" s="114" t="s">
        <v>270</v>
      </c>
      <c r="B37" s="152"/>
      <c r="C37" s="115"/>
      <c r="D37" s="159"/>
      <c r="E37" s="160"/>
      <c r="F37" s="160"/>
      <c r="G37" s="160"/>
      <c r="H37" s="161"/>
      <c r="I37" s="161"/>
      <c r="J37" s="152"/>
      <c r="K37" s="172"/>
      <c r="L37" s="172"/>
      <c r="M37" s="163"/>
      <c r="N37" s="172"/>
      <c r="O37" s="172"/>
      <c r="P37" s="172"/>
      <c r="Q37" s="164" t="s">
        <v>138</v>
      </c>
      <c r="R37" s="165">
        <v>40</v>
      </c>
      <c r="S37" s="165">
        <v>20</v>
      </c>
      <c r="T37" s="165">
        <f t="shared" si="0"/>
        <v>315</v>
      </c>
      <c r="U37" s="166">
        <v>170</v>
      </c>
      <c r="V37" s="165">
        <f t="shared" si="1"/>
        <v>485</v>
      </c>
      <c r="W37" s="165">
        <v>50</v>
      </c>
      <c r="X37" s="165">
        <v>39.5</v>
      </c>
      <c r="Y37" s="165">
        <v>40</v>
      </c>
      <c r="Z37" s="165">
        <v>52.5</v>
      </c>
      <c r="AA37" s="165">
        <v>18.5</v>
      </c>
      <c r="AB37" s="165">
        <v>35</v>
      </c>
      <c r="AC37" s="165">
        <v>20.25</v>
      </c>
      <c r="AD37" s="165">
        <v>40</v>
      </c>
      <c r="AE37" s="167" t="s">
        <v>13</v>
      </c>
      <c r="AF37" s="168">
        <v>15</v>
      </c>
      <c r="AG37" s="168">
        <f t="shared" si="2"/>
        <v>353</v>
      </c>
      <c r="AH37" s="169">
        <f>2.15+(0.895*T37/100)</f>
        <v>4.9692500000000006</v>
      </c>
      <c r="AI37" s="170">
        <f t="shared" si="3"/>
        <v>0.39584159999999996</v>
      </c>
      <c r="AJ37" s="170">
        <f t="shared" si="4"/>
        <v>0.29688119999999996</v>
      </c>
      <c r="AK37" s="170">
        <f t="shared" si="5"/>
        <v>9.8960400000000004E-2</v>
      </c>
      <c r="AL37" s="171">
        <f t="shared" si="6"/>
        <v>0.77647496572800001</v>
      </c>
      <c r="AN37" s="158" t="s">
        <v>268</v>
      </c>
    </row>
    <row r="38" spans="1:40" s="158" customFormat="1" ht="18.75">
      <c r="A38" s="114" t="s">
        <v>271</v>
      </c>
      <c r="B38" s="152"/>
      <c r="C38" s="115"/>
      <c r="D38" s="159"/>
      <c r="E38" s="160"/>
      <c r="F38" s="160"/>
      <c r="G38" s="160"/>
      <c r="H38" s="161"/>
      <c r="I38" s="161"/>
      <c r="J38" s="152"/>
      <c r="K38" s="172"/>
      <c r="L38" s="172"/>
      <c r="M38" s="163"/>
      <c r="N38" s="172"/>
      <c r="O38" s="172"/>
      <c r="P38" s="172"/>
      <c r="Q38" s="164" t="s">
        <v>137</v>
      </c>
      <c r="R38" s="165">
        <v>40</v>
      </c>
      <c r="S38" s="165">
        <v>25</v>
      </c>
      <c r="T38" s="165">
        <f t="shared" si="0"/>
        <v>315</v>
      </c>
      <c r="U38" s="166">
        <v>170</v>
      </c>
      <c r="V38" s="165">
        <f t="shared" si="1"/>
        <v>485</v>
      </c>
      <c r="W38" s="165">
        <v>50</v>
      </c>
      <c r="X38" s="165">
        <v>39.5</v>
      </c>
      <c r="Y38" s="165">
        <v>40</v>
      </c>
      <c r="Z38" s="165">
        <v>52.5</v>
      </c>
      <c r="AA38" s="165">
        <v>18.5</v>
      </c>
      <c r="AB38" s="165">
        <v>35</v>
      </c>
      <c r="AC38" s="165">
        <v>20.25</v>
      </c>
      <c r="AD38" s="165">
        <v>40</v>
      </c>
      <c r="AE38" s="167" t="s">
        <v>13</v>
      </c>
      <c r="AF38" s="168">
        <v>15</v>
      </c>
      <c r="AG38" s="168">
        <f t="shared" si="2"/>
        <v>353</v>
      </c>
      <c r="AH38" s="169">
        <f>2.15+(0.925*T38/100)</f>
        <v>5.0637499999999998</v>
      </c>
      <c r="AI38" s="170">
        <f t="shared" si="3"/>
        <v>0.39584159999999996</v>
      </c>
      <c r="AJ38" s="170">
        <f t="shared" si="4"/>
        <v>0.241215975</v>
      </c>
      <c r="AK38" s="170">
        <f t="shared" si="5"/>
        <v>0.15462562499999996</v>
      </c>
      <c r="AL38" s="171">
        <f t="shared" si="6"/>
        <v>1.2132421339499997</v>
      </c>
      <c r="AN38" s="158" t="s">
        <v>268</v>
      </c>
    </row>
    <row r="39" spans="1:40" s="158" customFormat="1" ht="18.75">
      <c r="A39" s="152"/>
      <c r="B39" s="152"/>
      <c r="C39" s="163"/>
      <c r="D39" s="159"/>
      <c r="E39" s="160"/>
      <c r="F39" s="160"/>
      <c r="G39" s="160"/>
      <c r="H39" s="161"/>
      <c r="I39" s="161"/>
      <c r="J39" s="152"/>
      <c r="K39" s="172"/>
      <c r="L39" s="172"/>
      <c r="M39" s="163"/>
      <c r="N39" s="172"/>
      <c r="O39" s="172"/>
      <c r="P39" s="172"/>
      <c r="Q39" s="164" t="s">
        <v>102</v>
      </c>
      <c r="R39" s="165">
        <v>50</v>
      </c>
      <c r="S39" s="165">
        <v>25</v>
      </c>
      <c r="T39" s="165">
        <f t="shared" si="0"/>
        <v>315</v>
      </c>
      <c r="U39" s="166">
        <v>200</v>
      </c>
      <c r="V39" s="165">
        <f t="shared" si="1"/>
        <v>515</v>
      </c>
      <c r="W39" s="165">
        <v>60</v>
      </c>
      <c r="X39" s="165">
        <v>48</v>
      </c>
      <c r="Y39" s="165">
        <v>50</v>
      </c>
      <c r="Z39" s="165">
        <v>64</v>
      </c>
      <c r="AA39" s="165">
        <v>25</v>
      </c>
      <c r="AB39" s="165">
        <v>40</v>
      </c>
      <c r="AC39" s="165">
        <v>25.4</v>
      </c>
      <c r="AD39" s="165">
        <v>45</v>
      </c>
      <c r="AE39" s="167" t="s">
        <v>13</v>
      </c>
      <c r="AF39" s="168">
        <v>15</v>
      </c>
      <c r="AG39" s="168">
        <f t="shared" si="2"/>
        <v>353</v>
      </c>
      <c r="AH39" s="169">
        <f>3.57+(0.952*T39/100)</f>
        <v>6.5687999999999995</v>
      </c>
      <c r="AI39" s="170">
        <f t="shared" si="3"/>
        <v>0.61850249999999996</v>
      </c>
      <c r="AJ39" s="170">
        <f t="shared" si="4"/>
        <v>0.46387687499999997</v>
      </c>
      <c r="AK39" s="170">
        <f t="shared" si="5"/>
        <v>0.15462562499999999</v>
      </c>
      <c r="AL39" s="171">
        <f t="shared" si="6"/>
        <v>1.2132421339499997</v>
      </c>
      <c r="AN39" s="158" t="s">
        <v>268</v>
      </c>
    </row>
    <row r="40" spans="1:40" s="158" customFormat="1" ht="18.75">
      <c r="A40" s="152"/>
      <c r="B40" s="152"/>
      <c r="C40" s="115"/>
      <c r="D40" s="159"/>
      <c r="E40" s="160"/>
      <c r="F40" s="160"/>
      <c r="G40" s="160"/>
      <c r="H40" s="161"/>
      <c r="I40" s="161"/>
      <c r="J40" s="152"/>
      <c r="K40" s="172"/>
      <c r="L40" s="172"/>
      <c r="M40" s="163"/>
      <c r="N40" s="172"/>
      <c r="O40" s="172"/>
      <c r="P40" s="172"/>
      <c r="Q40" s="164" t="s">
        <v>136</v>
      </c>
      <c r="R40" s="165">
        <v>50</v>
      </c>
      <c r="S40" s="165">
        <v>30</v>
      </c>
      <c r="T40" s="165">
        <f t="shared" si="0"/>
        <v>315</v>
      </c>
      <c r="U40" s="166">
        <v>200</v>
      </c>
      <c r="V40" s="165">
        <f t="shared" si="1"/>
        <v>515</v>
      </c>
      <c r="W40" s="165">
        <v>60</v>
      </c>
      <c r="X40" s="165">
        <v>53</v>
      </c>
      <c r="Y40" s="165">
        <v>50</v>
      </c>
      <c r="Z40" s="165">
        <v>56</v>
      </c>
      <c r="AA40" s="165">
        <v>25</v>
      </c>
      <c r="AB40" s="165">
        <v>40</v>
      </c>
      <c r="AC40" s="165">
        <v>25.4</v>
      </c>
      <c r="AD40" s="165">
        <v>45</v>
      </c>
      <c r="AE40" s="167" t="s">
        <v>13</v>
      </c>
      <c r="AF40" s="168">
        <v>15</v>
      </c>
      <c r="AG40" s="168">
        <f t="shared" si="2"/>
        <v>356</v>
      </c>
      <c r="AH40" s="169">
        <f>3.57+(1.217*T40/100)</f>
        <v>7.4035500000000001</v>
      </c>
      <c r="AI40" s="170">
        <f t="shared" si="3"/>
        <v>0.61850249999999996</v>
      </c>
      <c r="AJ40" s="170">
        <f t="shared" si="4"/>
        <v>0.39584159999999996</v>
      </c>
      <c r="AK40" s="170">
        <f t="shared" si="5"/>
        <v>0.22266089999999999</v>
      </c>
      <c r="AL40" s="171">
        <f t="shared" si="6"/>
        <v>1.7470686728879998</v>
      </c>
      <c r="AN40" s="158" t="s">
        <v>268</v>
      </c>
    </row>
    <row r="41" spans="1:40" s="158" customFormat="1" ht="18.75">
      <c r="A41" s="152"/>
      <c r="B41" s="152"/>
      <c r="C41" s="115"/>
      <c r="D41" s="159"/>
      <c r="E41" s="160"/>
      <c r="F41" s="160"/>
      <c r="G41" s="160"/>
      <c r="H41" s="161"/>
      <c r="I41" s="161"/>
      <c r="J41" s="152"/>
      <c r="K41" s="172"/>
      <c r="L41" s="172"/>
      <c r="M41" s="163"/>
      <c r="N41" s="172"/>
      <c r="O41" s="172"/>
      <c r="P41" s="172"/>
      <c r="Q41" s="164" t="s">
        <v>135</v>
      </c>
      <c r="R41" s="165">
        <v>50</v>
      </c>
      <c r="S41" s="165">
        <v>35</v>
      </c>
      <c r="T41" s="165">
        <f t="shared" si="0"/>
        <v>315</v>
      </c>
      <c r="U41" s="166">
        <v>200</v>
      </c>
      <c r="V41" s="165">
        <f t="shared" si="1"/>
        <v>515</v>
      </c>
      <c r="W41" s="165">
        <v>60</v>
      </c>
      <c r="X41" s="165">
        <v>53</v>
      </c>
      <c r="Y41" s="165">
        <v>50</v>
      </c>
      <c r="Z41" s="165">
        <v>56</v>
      </c>
      <c r="AA41" s="165">
        <v>25</v>
      </c>
      <c r="AB41" s="165">
        <v>40</v>
      </c>
      <c r="AC41" s="165">
        <v>25.4</v>
      </c>
      <c r="AD41" s="165">
        <v>45</v>
      </c>
      <c r="AE41" s="167" t="s">
        <v>13</v>
      </c>
      <c r="AF41" s="168">
        <v>15</v>
      </c>
      <c r="AG41" s="168">
        <f t="shared" si="2"/>
        <v>356</v>
      </c>
      <c r="AH41" s="169">
        <f>3.57+(1.417*T41/100)</f>
        <v>8.03355</v>
      </c>
      <c r="AI41" s="170">
        <f t="shared" si="3"/>
        <v>0.61850249999999996</v>
      </c>
      <c r="AJ41" s="170">
        <f t="shared" si="4"/>
        <v>0.31543627499999999</v>
      </c>
      <c r="AK41" s="170">
        <f t="shared" si="5"/>
        <v>0.30306622499999997</v>
      </c>
      <c r="AL41" s="171">
        <f t="shared" si="6"/>
        <v>2.3779545825419994</v>
      </c>
      <c r="AN41" s="158" t="s">
        <v>268</v>
      </c>
    </row>
    <row r="42" spans="1:40" s="158" customFormat="1" ht="18.75">
      <c r="A42" s="152"/>
      <c r="B42" s="152"/>
      <c r="C42" s="115"/>
      <c r="D42" s="159"/>
      <c r="E42" s="160"/>
      <c r="F42" s="160"/>
      <c r="G42" s="160"/>
      <c r="H42" s="161"/>
      <c r="I42" s="161"/>
      <c r="J42" s="152"/>
      <c r="K42" s="172"/>
      <c r="L42" s="172"/>
      <c r="M42" s="163"/>
      <c r="N42" s="172"/>
      <c r="O42" s="172"/>
      <c r="P42" s="172"/>
      <c r="Q42" s="164" t="s">
        <v>178</v>
      </c>
      <c r="R42" s="165">
        <v>50</v>
      </c>
      <c r="S42" s="165">
        <v>40</v>
      </c>
      <c r="T42" s="165">
        <f t="shared" si="0"/>
        <v>315</v>
      </c>
      <c r="U42" s="166">
        <v>200</v>
      </c>
      <c r="V42" s="165">
        <f t="shared" si="1"/>
        <v>515</v>
      </c>
      <c r="W42" s="165">
        <v>60</v>
      </c>
      <c r="X42" s="165">
        <v>53</v>
      </c>
      <c r="Y42" s="165">
        <v>70</v>
      </c>
      <c r="Z42" s="165">
        <v>36</v>
      </c>
      <c r="AA42" s="165">
        <v>25</v>
      </c>
      <c r="AB42" s="165">
        <v>40</v>
      </c>
      <c r="AC42" s="165">
        <v>25.4</v>
      </c>
      <c r="AD42" s="165">
        <v>45</v>
      </c>
      <c r="AE42" s="167" t="s">
        <v>13</v>
      </c>
      <c r="AF42" s="168">
        <v>15</v>
      </c>
      <c r="AG42" s="168">
        <f t="shared" si="2"/>
        <v>356</v>
      </c>
      <c r="AH42" s="169">
        <f>3.57+(1.8485*T42/100)</f>
        <v>9.3927750000000003</v>
      </c>
      <c r="AI42" s="170">
        <f t="shared" si="3"/>
        <v>0.61850249999999996</v>
      </c>
      <c r="AJ42" s="170">
        <f t="shared" si="4"/>
        <v>0.22266089999999994</v>
      </c>
      <c r="AK42" s="170">
        <f t="shared" si="5"/>
        <v>0.39584160000000002</v>
      </c>
      <c r="AL42" s="171">
        <f t="shared" si="6"/>
        <v>3.105899862912</v>
      </c>
      <c r="AN42" s="158" t="s">
        <v>268</v>
      </c>
    </row>
    <row r="43" spans="1:40" s="158" customFormat="1" ht="18.75">
      <c r="A43" s="152"/>
      <c r="B43" s="152"/>
      <c r="C43" s="163"/>
      <c r="D43" s="159"/>
      <c r="E43" s="160"/>
      <c r="F43" s="160"/>
      <c r="G43" s="160"/>
      <c r="H43" s="161"/>
      <c r="I43" s="161"/>
      <c r="J43" s="152"/>
      <c r="K43" s="172"/>
      <c r="L43" s="172"/>
      <c r="M43" s="163"/>
      <c r="N43" s="172"/>
      <c r="O43" s="172"/>
      <c r="P43" s="172"/>
      <c r="Q43" s="164" t="s">
        <v>134</v>
      </c>
      <c r="R43" s="165">
        <v>60</v>
      </c>
      <c r="S43" s="165">
        <v>25</v>
      </c>
      <c r="T43" s="165">
        <f t="shared" si="0"/>
        <v>315</v>
      </c>
      <c r="U43" s="166">
        <v>200</v>
      </c>
      <c r="V43" s="165">
        <f>U43+T43</f>
        <v>515</v>
      </c>
      <c r="W43" s="165">
        <v>70</v>
      </c>
      <c r="X43" s="165">
        <v>48</v>
      </c>
      <c r="Y43" s="165">
        <v>50</v>
      </c>
      <c r="Z43" s="165">
        <v>64</v>
      </c>
      <c r="AA43" s="165">
        <v>25</v>
      </c>
      <c r="AB43" s="165">
        <v>40</v>
      </c>
      <c r="AC43" s="165">
        <v>25.4</v>
      </c>
      <c r="AD43" s="165">
        <v>45</v>
      </c>
      <c r="AE43" s="167" t="s">
        <v>13</v>
      </c>
      <c r="AF43" s="168">
        <v>15</v>
      </c>
      <c r="AG43" s="168">
        <f>V43-X43-Y43-Z43</f>
        <v>353</v>
      </c>
      <c r="AH43" s="169">
        <f>4.95+(1.072*T43/100)</f>
        <v>8.3268000000000004</v>
      </c>
      <c r="AI43" s="170">
        <f>((3.1416*(R43*R43)/4)*T43)*0.000001</f>
        <v>0.89064359999999998</v>
      </c>
      <c r="AJ43" s="170">
        <f>AI43-(((3.1416*S43*S43)/4)*T43*0.000001)</f>
        <v>0.73601797499999999</v>
      </c>
      <c r="AK43" s="170">
        <f>AI43-AJ43</f>
        <v>0.15462562499999999</v>
      </c>
      <c r="AL43" s="171">
        <f>((((3.1416*S43*S43)/4)*T43)*0.0000001)*78.4632</f>
        <v>1.2132421339499997</v>
      </c>
      <c r="AN43" s="158" t="s">
        <v>268</v>
      </c>
    </row>
    <row r="44" spans="1:40" s="158" customFormat="1" ht="18.75">
      <c r="A44" s="152"/>
      <c r="B44" s="152"/>
      <c r="C44" s="115"/>
      <c r="D44" s="159"/>
      <c r="E44" s="160"/>
      <c r="F44" s="160"/>
      <c r="G44" s="160"/>
      <c r="H44" s="161"/>
      <c r="I44" s="161"/>
      <c r="J44" s="152"/>
      <c r="K44" s="172"/>
      <c r="L44" s="172"/>
      <c r="M44" s="163"/>
      <c r="N44" s="172"/>
      <c r="O44" s="172"/>
      <c r="P44" s="172"/>
      <c r="Q44" s="164" t="s">
        <v>133</v>
      </c>
      <c r="R44" s="165">
        <v>60</v>
      </c>
      <c r="S44" s="165">
        <v>30</v>
      </c>
      <c r="T44" s="165">
        <f t="shared" si="0"/>
        <v>315</v>
      </c>
      <c r="U44" s="166">
        <v>200</v>
      </c>
      <c r="V44" s="165">
        <f t="shared" si="1"/>
        <v>515</v>
      </c>
      <c r="W44" s="165">
        <v>70</v>
      </c>
      <c r="X44" s="165">
        <v>53</v>
      </c>
      <c r="Y44" s="165">
        <v>50</v>
      </c>
      <c r="Z44" s="165">
        <v>56</v>
      </c>
      <c r="AA44" s="165">
        <v>25</v>
      </c>
      <c r="AB44" s="165">
        <v>40</v>
      </c>
      <c r="AC44" s="165">
        <v>25.4</v>
      </c>
      <c r="AD44" s="165">
        <v>45</v>
      </c>
      <c r="AE44" s="167" t="s">
        <v>13</v>
      </c>
      <c r="AF44" s="168">
        <v>15</v>
      </c>
      <c r="AG44" s="168">
        <f t="shared" si="2"/>
        <v>356</v>
      </c>
      <c r="AH44" s="169">
        <f>4.95+(1.2416*T44/100)</f>
        <v>8.8610399999999991</v>
      </c>
      <c r="AI44" s="170">
        <f t="shared" si="3"/>
        <v>0.89064359999999998</v>
      </c>
      <c r="AJ44" s="170">
        <f t="shared" si="4"/>
        <v>0.66798270000000004</v>
      </c>
      <c r="AK44" s="170">
        <f t="shared" si="5"/>
        <v>0.22266089999999994</v>
      </c>
      <c r="AL44" s="171">
        <f>((((3.1416*S44*S44)/4)*T44)*0.0000001)*78.4632</f>
        <v>1.7470686728879998</v>
      </c>
      <c r="AN44" s="158" t="s">
        <v>268</v>
      </c>
    </row>
    <row r="45" spans="1:40" s="158" customFormat="1" ht="18.75">
      <c r="A45" s="152"/>
      <c r="B45" s="152"/>
      <c r="C45" s="115"/>
      <c r="D45" s="159"/>
      <c r="E45" s="160"/>
      <c r="F45" s="160"/>
      <c r="G45" s="160"/>
      <c r="H45" s="161"/>
      <c r="I45" s="161"/>
      <c r="J45" s="152"/>
      <c r="K45" s="172"/>
      <c r="L45" s="172"/>
      <c r="M45" s="163"/>
      <c r="N45" s="172"/>
      <c r="O45" s="172"/>
      <c r="P45" s="172"/>
      <c r="Q45" s="164" t="s">
        <v>132</v>
      </c>
      <c r="R45" s="165">
        <v>60</v>
      </c>
      <c r="S45" s="165">
        <v>35</v>
      </c>
      <c r="T45" s="165">
        <f t="shared" si="0"/>
        <v>315</v>
      </c>
      <c r="U45" s="166">
        <v>200</v>
      </c>
      <c r="V45" s="165">
        <f t="shared" si="1"/>
        <v>515</v>
      </c>
      <c r="W45" s="165">
        <v>70</v>
      </c>
      <c r="X45" s="165">
        <v>53</v>
      </c>
      <c r="Y45" s="165">
        <v>50</v>
      </c>
      <c r="Z45" s="165">
        <v>56</v>
      </c>
      <c r="AA45" s="165">
        <v>25</v>
      </c>
      <c r="AB45" s="165">
        <v>40</v>
      </c>
      <c r="AC45" s="165">
        <v>25.4</v>
      </c>
      <c r="AD45" s="165">
        <v>45</v>
      </c>
      <c r="AE45" s="167" t="s">
        <v>13</v>
      </c>
      <c r="AF45" s="168">
        <v>15</v>
      </c>
      <c r="AG45" s="168">
        <f t="shared" si="2"/>
        <v>356</v>
      </c>
      <c r="AH45" s="169">
        <f>4.95+(1.6731*T45/100)</f>
        <v>10.220265000000001</v>
      </c>
      <c r="AI45" s="170">
        <f t="shared" si="3"/>
        <v>0.89064359999999998</v>
      </c>
      <c r="AJ45" s="170">
        <f t="shared" si="4"/>
        <v>0.58757737499999996</v>
      </c>
      <c r="AK45" s="170">
        <f t="shared" si="5"/>
        <v>0.30306622500000002</v>
      </c>
      <c r="AL45" s="171">
        <f t="shared" si="6"/>
        <v>2.3779545825419994</v>
      </c>
      <c r="AN45" s="158" t="s">
        <v>268</v>
      </c>
    </row>
    <row r="46" spans="1:40" s="158" customFormat="1" ht="18.75">
      <c r="A46" s="152"/>
      <c r="B46" s="152"/>
      <c r="C46" s="115"/>
      <c r="D46" s="159"/>
      <c r="E46" s="160"/>
      <c r="F46" s="160"/>
      <c r="G46" s="160"/>
      <c r="H46" s="161"/>
      <c r="I46" s="161"/>
      <c r="J46" s="152"/>
      <c r="K46" s="172"/>
      <c r="L46" s="172"/>
      <c r="M46" s="163"/>
      <c r="N46" s="172"/>
      <c r="O46" s="172"/>
      <c r="P46" s="172"/>
      <c r="Q46" s="164" t="s">
        <v>131</v>
      </c>
      <c r="R46" s="165">
        <v>60</v>
      </c>
      <c r="S46" s="165">
        <v>40</v>
      </c>
      <c r="T46" s="165">
        <f t="shared" si="0"/>
        <v>315</v>
      </c>
      <c r="U46" s="166">
        <v>200</v>
      </c>
      <c r="V46" s="165">
        <f t="shared" si="1"/>
        <v>515</v>
      </c>
      <c r="W46" s="165">
        <v>70</v>
      </c>
      <c r="X46" s="165">
        <v>53</v>
      </c>
      <c r="Y46" s="165">
        <v>50</v>
      </c>
      <c r="Z46" s="165">
        <v>56</v>
      </c>
      <c r="AA46" s="165">
        <v>25</v>
      </c>
      <c r="AB46" s="165">
        <v>40</v>
      </c>
      <c r="AC46" s="165">
        <v>25.4</v>
      </c>
      <c r="AD46" s="165">
        <v>45</v>
      </c>
      <c r="AE46" s="167" t="s">
        <v>13</v>
      </c>
      <c r="AF46" s="168">
        <v>15</v>
      </c>
      <c r="AG46" s="168">
        <f t="shared" si="2"/>
        <v>356</v>
      </c>
      <c r="AH46" s="169">
        <f>4.95+(1.903*T46/100)</f>
        <v>10.94445</v>
      </c>
      <c r="AI46" s="170">
        <f t="shared" si="3"/>
        <v>0.89064359999999998</v>
      </c>
      <c r="AJ46" s="170">
        <f t="shared" si="4"/>
        <v>0.49480199999999996</v>
      </c>
      <c r="AK46" s="170">
        <f t="shared" si="5"/>
        <v>0.39584160000000002</v>
      </c>
      <c r="AL46" s="171">
        <f t="shared" si="6"/>
        <v>3.105899862912</v>
      </c>
      <c r="AN46" s="158" t="s">
        <v>268</v>
      </c>
    </row>
    <row r="47" spans="1:40" s="158" customFormat="1" ht="18.75">
      <c r="A47" s="152"/>
      <c r="B47" s="152"/>
      <c r="C47" s="115"/>
      <c r="D47" s="159"/>
      <c r="E47" s="160"/>
      <c r="F47" s="160"/>
      <c r="G47" s="160"/>
      <c r="H47" s="161"/>
      <c r="I47" s="161"/>
      <c r="J47" s="152"/>
      <c r="K47" s="172"/>
      <c r="L47" s="172"/>
      <c r="M47" s="163"/>
      <c r="N47" s="172"/>
      <c r="O47" s="172"/>
      <c r="P47" s="172"/>
      <c r="Q47" s="164" t="s">
        <v>141</v>
      </c>
      <c r="R47" s="165">
        <v>60</v>
      </c>
      <c r="S47" s="165">
        <v>45</v>
      </c>
      <c r="T47" s="165">
        <f t="shared" si="0"/>
        <v>315</v>
      </c>
      <c r="U47" s="166">
        <v>200</v>
      </c>
      <c r="V47" s="165">
        <f t="shared" si="1"/>
        <v>515</v>
      </c>
      <c r="W47" s="165">
        <v>70</v>
      </c>
      <c r="X47" s="165">
        <v>53</v>
      </c>
      <c r="Y47" s="165">
        <v>74</v>
      </c>
      <c r="Z47" s="165">
        <v>32</v>
      </c>
      <c r="AA47" s="165">
        <v>25</v>
      </c>
      <c r="AB47" s="165">
        <v>40</v>
      </c>
      <c r="AC47" s="165">
        <v>25.4</v>
      </c>
      <c r="AD47" s="165">
        <v>45</v>
      </c>
      <c r="AE47" s="167" t="s">
        <v>13</v>
      </c>
      <c r="AF47" s="168">
        <v>15</v>
      </c>
      <c r="AG47" s="168">
        <f t="shared" si="2"/>
        <v>356</v>
      </c>
      <c r="AH47" s="169">
        <f>4.95+(1.9347*T47/100)</f>
        <v>11.044305000000001</v>
      </c>
      <c r="AI47" s="170">
        <f t="shared" si="3"/>
        <v>0.89064359999999998</v>
      </c>
      <c r="AJ47" s="170">
        <f t="shared" si="4"/>
        <v>0.38965657500000006</v>
      </c>
      <c r="AK47" s="170">
        <f t="shared" si="5"/>
        <v>0.50098702499999992</v>
      </c>
      <c r="AL47" s="171">
        <f t="shared" si="6"/>
        <v>3.9309045139979997</v>
      </c>
      <c r="AN47" s="158" t="s">
        <v>268</v>
      </c>
    </row>
    <row r="48" spans="1:40" s="158" customFormat="1" ht="18.75">
      <c r="A48" s="152"/>
      <c r="B48" s="152"/>
      <c r="C48" s="115"/>
      <c r="D48" s="159"/>
      <c r="E48" s="160"/>
      <c r="F48" s="160"/>
      <c r="G48" s="160"/>
      <c r="H48" s="161"/>
      <c r="I48" s="161"/>
      <c r="J48" s="152"/>
      <c r="K48" s="172"/>
      <c r="L48" s="172"/>
      <c r="M48" s="163"/>
      <c r="N48" s="172"/>
      <c r="O48" s="172"/>
      <c r="P48" s="172"/>
      <c r="Q48" s="164" t="s">
        <v>166</v>
      </c>
      <c r="R48" s="165">
        <v>63</v>
      </c>
      <c r="S48" s="165">
        <v>35</v>
      </c>
      <c r="T48" s="165">
        <f t="shared" si="0"/>
        <v>315</v>
      </c>
      <c r="U48" s="166">
        <v>200</v>
      </c>
      <c r="V48" s="165">
        <f t="shared" si="1"/>
        <v>515</v>
      </c>
      <c r="W48" s="165">
        <v>75</v>
      </c>
      <c r="X48" s="165">
        <v>53</v>
      </c>
      <c r="Y48" s="165">
        <v>50</v>
      </c>
      <c r="Z48" s="165">
        <v>43</v>
      </c>
      <c r="AA48" s="165">
        <v>25</v>
      </c>
      <c r="AB48" s="165">
        <v>40</v>
      </c>
      <c r="AC48" s="165">
        <v>25.4</v>
      </c>
      <c r="AD48" s="165">
        <v>45</v>
      </c>
      <c r="AE48" s="167" t="s">
        <v>13</v>
      </c>
      <c r="AF48" s="168">
        <v>15</v>
      </c>
      <c r="AG48" s="168">
        <f t="shared" si="2"/>
        <v>369</v>
      </c>
      <c r="AH48" s="169"/>
      <c r="AI48" s="170">
        <f t="shared" si="3"/>
        <v>0.98193456899999987</v>
      </c>
      <c r="AJ48" s="170">
        <f t="shared" si="4"/>
        <v>0.67886834399999985</v>
      </c>
      <c r="AK48" s="170">
        <f t="shared" si="5"/>
        <v>0.30306622500000002</v>
      </c>
      <c r="AL48" s="171">
        <f t="shared" si="6"/>
        <v>2.3779545825419994</v>
      </c>
    </row>
    <row r="49" spans="1:40" s="158" customFormat="1" ht="18.75">
      <c r="A49" s="152"/>
      <c r="B49" s="152"/>
      <c r="C49" s="115"/>
      <c r="D49" s="159"/>
      <c r="E49" s="160"/>
      <c r="F49" s="160"/>
      <c r="G49" s="160"/>
      <c r="H49" s="161"/>
      <c r="I49" s="161"/>
      <c r="J49" s="152"/>
      <c r="K49" s="172"/>
      <c r="L49" s="172"/>
      <c r="M49" s="163"/>
      <c r="N49" s="172"/>
      <c r="O49" s="172"/>
      <c r="P49" s="172"/>
      <c r="Q49" s="164" t="s">
        <v>130</v>
      </c>
      <c r="R49" s="165">
        <v>63</v>
      </c>
      <c r="S49" s="165">
        <v>36</v>
      </c>
      <c r="T49" s="165">
        <f t="shared" si="0"/>
        <v>315</v>
      </c>
      <c r="U49" s="166">
        <v>200</v>
      </c>
      <c r="V49" s="165">
        <f t="shared" si="1"/>
        <v>515</v>
      </c>
      <c r="W49" s="165">
        <v>75</v>
      </c>
      <c r="X49" s="165">
        <v>53</v>
      </c>
      <c r="Y49" s="165">
        <v>50</v>
      </c>
      <c r="Z49" s="165">
        <v>43</v>
      </c>
      <c r="AA49" s="165">
        <v>25</v>
      </c>
      <c r="AB49" s="165">
        <v>40</v>
      </c>
      <c r="AC49" s="165">
        <v>25.4</v>
      </c>
      <c r="AD49" s="165">
        <v>45</v>
      </c>
      <c r="AE49" s="167" t="s">
        <v>13</v>
      </c>
      <c r="AF49" s="168">
        <v>15</v>
      </c>
      <c r="AG49" s="168">
        <f t="shared" si="2"/>
        <v>369</v>
      </c>
      <c r="AH49" s="169"/>
      <c r="AI49" s="170">
        <f t="shared" si="3"/>
        <v>0.98193456899999987</v>
      </c>
      <c r="AJ49" s="170">
        <f t="shared" si="4"/>
        <v>0.6613028729999999</v>
      </c>
      <c r="AK49" s="170">
        <f t="shared" si="5"/>
        <v>0.32063169599999997</v>
      </c>
      <c r="AL49" s="171">
        <f t="shared" si="6"/>
        <v>2.5157788889587196</v>
      </c>
    </row>
    <row r="50" spans="1:40" s="158" customFormat="1" ht="18.75">
      <c r="A50" s="152"/>
      <c r="B50" s="152"/>
      <c r="C50" s="115"/>
      <c r="D50" s="159"/>
      <c r="E50" s="160"/>
      <c r="F50" s="160"/>
      <c r="G50" s="160"/>
      <c r="H50" s="161"/>
      <c r="I50" s="161"/>
      <c r="J50" s="173"/>
      <c r="K50" s="172"/>
      <c r="L50" s="172"/>
      <c r="M50" s="163"/>
      <c r="N50" s="172"/>
      <c r="O50" s="172"/>
      <c r="P50" s="172"/>
      <c r="Q50" s="164" t="s">
        <v>129</v>
      </c>
      <c r="R50" s="165">
        <v>63</v>
      </c>
      <c r="S50" s="165">
        <v>40</v>
      </c>
      <c r="T50" s="165">
        <f t="shared" si="0"/>
        <v>315</v>
      </c>
      <c r="U50" s="166">
        <v>200</v>
      </c>
      <c r="V50" s="165">
        <f t="shared" si="1"/>
        <v>515</v>
      </c>
      <c r="W50" s="165">
        <v>75</v>
      </c>
      <c r="X50" s="165">
        <v>53</v>
      </c>
      <c r="Y50" s="165">
        <v>50</v>
      </c>
      <c r="Z50" s="165">
        <v>43</v>
      </c>
      <c r="AA50" s="165">
        <v>25</v>
      </c>
      <c r="AB50" s="165">
        <v>40</v>
      </c>
      <c r="AC50" s="165">
        <v>25.4</v>
      </c>
      <c r="AD50" s="165">
        <v>45</v>
      </c>
      <c r="AE50" s="167" t="s">
        <v>13</v>
      </c>
      <c r="AF50" s="168">
        <v>15</v>
      </c>
      <c r="AG50" s="168">
        <f t="shared" si="2"/>
        <v>369</v>
      </c>
      <c r="AH50" s="169"/>
      <c r="AI50" s="170">
        <f t="shared" si="3"/>
        <v>0.98193456899999987</v>
      </c>
      <c r="AJ50" s="170">
        <f t="shared" si="4"/>
        <v>0.58609296899999985</v>
      </c>
      <c r="AK50" s="170">
        <f t="shared" si="5"/>
        <v>0.39584160000000002</v>
      </c>
      <c r="AL50" s="171">
        <f t="shared" si="6"/>
        <v>3.105899862912</v>
      </c>
    </row>
    <row r="51" spans="1:40" s="158" customFormat="1" ht="18.75">
      <c r="A51" s="152"/>
      <c r="B51" s="152"/>
      <c r="C51" s="115"/>
      <c r="D51" s="159"/>
      <c r="E51" s="160"/>
      <c r="F51" s="160"/>
      <c r="G51" s="160"/>
      <c r="H51" s="161"/>
      <c r="I51" s="161"/>
      <c r="J51" s="173"/>
      <c r="K51" s="172"/>
      <c r="L51" s="172"/>
      <c r="M51" s="163"/>
      <c r="N51" s="172"/>
      <c r="O51" s="172"/>
      <c r="P51" s="172"/>
      <c r="Q51" s="164" t="s">
        <v>128</v>
      </c>
      <c r="R51" s="165">
        <v>63</v>
      </c>
      <c r="S51" s="165">
        <v>45</v>
      </c>
      <c r="T51" s="165">
        <f t="shared" si="0"/>
        <v>315</v>
      </c>
      <c r="U51" s="166">
        <v>200</v>
      </c>
      <c r="V51" s="165">
        <f>U51+T51</f>
        <v>515</v>
      </c>
      <c r="W51" s="165">
        <v>75</v>
      </c>
      <c r="X51" s="165">
        <v>53</v>
      </c>
      <c r="Y51" s="165">
        <v>63</v>
      </c>
      <c r="Z51" s="165">
        <v>43</v>
      </c>
      <c r="AA51" s="165">
        <v>25</v>
      </c>
      <c r="AB51" s="165">
        <v>40</v>
      </c>
      <c r="AC51" s="165">
        <v>25.4</v>
      </c>
      <c r="AD51" s="165">
        <v>45</v>
      </c>
      <c r="AE51" s="167" t="s">
        <v>13</v>
      </c>
      <c r="AF51" s="168">
        <v>15</v>
      </c>
      <c r="AG51" s="168">
        <f>V51-X51-Y51-Z51</f>
        <v>356</v>
      </c>
      <c r="AH51" s="169"/>
      <c r="AI51" s="170">
        <f>((3.1416*(R51*R51)/4)*T51)*0.000001</f>
        <v>0.98193456899999987</v>
      </c>
      <c r="AJ51" s="170">
        <f>AI51-(((3.1416*S51*S51)/4)*T51*0.000001)</f>
        <v>0.48094754399999995</v>
      </c>
      <c r="AK51" s="170">
        <f>AI51-AJ51</f>
        <v>0.50098702499999992</v>
      </c>
      <c r="AL51" s="171">
        <f t="shared" si="6"/>
        <v>3.9309045139979997</v>
      </c>
    </row>
    <row r="52" spans="1:40" s="158" customFormat="1" ht="18.75">
      <c r="A52" s="153"/>
      <c r="B52" s="174"/>
      <c r="C52" s="163"/>
      <c r="D52" s="159"/>
      <c r="E52" s="160"/>
      <c r="F52" s="160"/>
      <c r="G52" s="160"/>
      <c r="H52" s="161"/>
      <c r="I52" s="161"/>
      <c r="J52" s="173"/>
      <c r="K52" s="172"/>
      <c r="L52" s="172"/>
      <c r="M52" s="163"/>
      <c r="N52" s="172"/>
      <c r="O52" s="172"/>
      <c r="P52" s="172"/>
      <c r="Q52" s="164" t="s">
        <v>127</v>
      </c>
      <c r="R52" s="165">
        <v>70</v>
      </c>
      <c r="S52" s="165">
        <v>30</v>
      </c>
      <c r="T52" s="165">
        <f t="shared" si="0"/>
        <v>315</v>
      </c>
      <c r="U52" s="166">
        <v>210</v>
      </c>
      <c r="V52" s="165">
        <f>U52+T52</f>
        <v>525</v>
      </c>
      <c r="W52" s="165">
        <v>80</v>
      </c>
      <c r="X52" s="165">
        <v>58</v>
      </c>
      <c r="Y52" s="165">
        <v>63</v>
      </c>
      <c r="Z52" s="165">
        <v>40</v>
      </c>
      <c r="AA52" s="165">
        <v>25</v>
      </c>
      <c r="AB52" s="165">
        <v>50</v>
      </c>
      <c r="AC52" s="165">
        <v>30.25</v>
      </c>
      <c r="AD52" s="165">
        <v>55</v>
      </c>
      <c r="AE52" s="167" t="s">
        <v>13</v>
      </c>
      <c r="AF52" s="168">
        <v>15</v>
      </c>
      <c r="AG52" s="168">
        <f>V52-X52-Y52-Z52</f>
        <v>364</v>
      </c>
      <c r="AH52" s="169"/>
      <c r="AI52" s="170">
        <f>((3.1416*(R52*R52)/4)*T52)*0.000001</f>
        <v>1.2122648999999999</v>
      </c>
      <c r="AJ52" s="170">
        <f>AI52-(((3.1416*S52*S52)/4)*T52*0.000001)</f>
        <v>0.98960399999999993</v>
      </c>
      <c r="AK52" s="170">
        <f>AI52-AJ52</f>
        <v>0.22266089999999994</v>
      </c>
      <c r="AL52" s="171">
        <f>((((3.1416*S52*S52)/4)*T52)*0.0000001)*78.4632</f>
        <v>1.7470686728879998</v>
      </c>
    </row>
    <row r="53" spans="1:40" s="158" customFormat="1" ht="18.75">
      <c r="A53" s="153"/>
      <c r="B53" s="174"/>
      <c r="C53" s="115"/>
      <c r="D53" s="159"/>
      <c r="E53" s="160"/>
      <c r="F53" s="160"/>
      <c r="G53" s="160"/>
      <c r="H53" s="161"/>
      <c r="I53" s="161"/>
      <c r="J53" s="173"/>
      <c r="K53" s="172"/>
      <c r="L53" s="172"/>
      <c r="M53" s="163"/>
      <c r="N53" s="172"/>
      <c r="O53" s="172"/>
      <c r="P53" s="172"/>
      <c r="Q53" s="164" t="s">
        <v>126</v>
      </c>
      <c r="R53" s="165">
        <v>70</v>
      </c>
      <c r="S53" s="165">
        <v>35</v>
      </c>
      <c r="T53" s="165">
        <f t="shared" si="0"/>
        <v>315</v>
      </c>
      <c r="U53" s="166">
        <v>210</v>
      </c>
      <c r="V53" s="165">
        <f t="shared" si="1"/>
        <v>525</v>
      </c>
      <c r="W53" s="165">
        <v>80</v>
      </c>
      <c r="X53" s="165">
        <v>58</v>
      </c>
      <c r="Y53" s="165">
        <v>63</v>
      </c>
      <c r="Z53" s="165">
        <v>40</v>
      </c>
      <c r="AA53" s="165">
        <v>25</v>
      </c>
      <c r="AB53" s="165">
        <v>50</v>
      </c>
      <c r="AC53" s="165">
        <v>30.25</v>
      </c>
      <c r="AD53" s="165">
        <v>55</v>
      </c>
      <c r="AE53" s="167" t="s">
        <v>13</v>
      </c>
      <c r="AF53" s="168">
        <v>15</v>
      </c>
      <c r="AG53" s="168">
        <f t="shared" si="2"/>
        <v>364</v>
      </c>
      <c r="AH53" s="169"/>
      <c r="AI53" s="170">
        <f t="shared" si="3"/>
        <v>1.2122648999999999</v>
      </c>
      <c r="AJ53" s="170">
        <f t="shared" si="4"/>
        <v>0.90919867499999985</v>
      </c>
      <c r="AK53" s="170">
        <f t="shared" si="5"/>
        <v>0.30306622500000002</v>
      </c>
      <c r="AL53" s="171">
        <f t="shared" si="6"/>
        <v>2.3779545825419994</v>
      </c>
    </row>
    <row r="54" spans="1:40" s="158" customFormat="1" ht="18.75">
      <c r="A54" s="153"/>
      <c r="B54" s="174"/>
      <c r="C54" s="115"/>
      <c r="D54" s="159"/>
      <c r="E54" s="160"/>
      <c r="F54" s="160"/>
      <c r="G54" s="160"/>
      <c r="H54" s="161"/>
      <c r="I54" s="161"/>
      <c r="J54" s="173"/>
      <c r="K54" s="172"/>
      <c r="L54" s="172"/>
      <c r="M54" s="163"/>
      <c r="N54" s="172"/>
      <c r="O54" s="172"/>
      <c r="P54" s="172"/>
      <c r="Q54" s="164" t="s">
        <v>125</v>
      </c>
      <c r="R54" s="165">
        <v>70</v>
      </c>
      <c r="S54" s="165">
        <v>40</v>
      </c>
      <c r="T54" s="165">
        <f t="shared" si="0"/>
        <v>315</v>
      </c>
      <c r="U54" s="166">
        <v>210</v>
      </c>
      <c r="V54" s="165">
        <f t="shared" si="1"/>
        <v>525</v>
      </c>
      <c r="W54" s="165">
        <v>80</v>
      </c>
      <c r="X54" s="165">
        <v>58</v>
      </c>
      <c r="Y54" s="165">
        <v>63</v>
      </c>
      <c r="Z54" s="165">
        <v>40</v>
      </c>
      <c r="AA54" s="165">
        <v>25</v>
      </c>
      <c r="AB54" s="165">
        <v>50</v>
      </c>
      <c r="AC54" s="165">
        <v>30.25</v>
      </c>
      <c r="AD54" s="165">
        <v>55</v>
      </c>
      <c r="AE54" s="167" t="s">
        <v>13</v>
      </c>
      <c r="AF54" s="168">
        <v>15</v>
      </c>
      <c r="AG54" s="168">
        <f t="shared" si="2"/>
        <v>364</v>
      </c>
      <c r="AH54" s="169">
        <f>5.6+(2.15*T54/100)</f>
        <v>12.372499999999999</v>
      </c>
      <c r="AI54" s="170">
        <f t="shared" si="3"/>
        <v>1.2122648999999999</v>
      </c>
      <c r="AJ54" s="170">
        <f t="shared" si="4"/>
        <v>0.81642329999999985</v>
      </c>
      <c r="AK54" s="170">
        <f t="shared" si="5"/>
        <v>0.39584160000000002</v>
      </c>
      <c r="AL54" s="171">
        <f t="shared" si="6"/>
        <v>3.105899862912</v>
      </c>
      <c r="AN54" s="158" t="s">
        <v>268</v>
      </c>
    </row>
    <row r="55" spans="1:40" s="158" customFormat="1" ht="18.75">
      <c r="A55" s="153"/>
      <c r="B55" s="174"/>
      <c r="C55" s="163"/>
      <c r="D55" s="159"/>
      <c r="E55" s="160"/>
      <c r="F55" s="160"/>
      <c r="G55" s="160"/>
      <c r="H55" s="161"/>
      <c r="I55" s="161"/>
      <c r="J55" s="173"/>
      <c r="K55" s="172"/>
      <c r="L55" s="172"/>
      <c r="M55" s="163"/>
      <c r="N55" s="172"/>
      <c r="O55" s="172"/>
      <c r="P55" s="172"/>
      <c r="Q55" s="164" t="s">
        <v>124</v>
      </c>
      <c r="R55" s="165">
        <v>70</v>
      </c>
      <c r="S55" s="165">
        <v>45</v>
      </c>
      <c r="T55" s="165">
        <f t="shared" si="0"/>
        <v>315</v>
      </c>
      <c r="U55" s="166">
        <v>210</v>
      </c>
      <c r="V55" s="165">
        <f t="shared" si="1"/>
        <v>525</v>
      </c>
      <c r="W55" s="165">
        <v>80</v>
      </c>
      <c r="X55" s="165">
        <v>58</v>
      </c>
      <c r="Y55" s="165">
        <v>63</v>
      </c>
      <c r="Z55" s="165">
        <v>40</v>
      </c>
      <c r="AA55" s="165">
        <v>25</v>
      </c>
      <c r="AB55" s="165">
        <v>50</v>
      </c>
      <c r="AC55" s="165">
        <v>30.25</v>
      </c>
      <c r="AD55" s="165">
        <v>55</v>
      </c>
      <c r="AE55" s="167" t="s">
        <v>13</v>
      </c>
      <c r="AF55" s="168">
        <v>15</v>
      </c>
      <c r="AG55" s="168">
        <f t="shared" si="2"/>
        <v>364</v>
      </c>
      <c r="AH55" s="169">
        <f>5.6+(2.4116*T55/100)</f>
        <v>13.196539999999999</v>
      </c>
      <c r="AI55" s="170">
        <f t="shared" si="3"/>
        <v>1.2122648999999999</v>
      </c>
      <c r="AJ55" s="170">
        <f t="shared" si="4"/>
        <v>0.71127787499999995</v>
      </c>
      <c r="AK55" s="170">
        <f t="shared" si="5"/>
        <v>0.50098702499999992</v>
      </c>
      <c r="AL55" s="171">
        <f t="shared" si="6"/>
        <v>3.9309045139979997</v>
      </c>
      <c r="AN55" s="158" t="s">
        <v>268</v>
      </c>
    </row>
    <row r="56" spans="1:40" s="158" customFormat="1" ht="18.75">
      <c r="A56" s="153"/>
      <c r="B56" s="174"/>
      <c r="C56" s="115"/>
      <c r="D56" s="159"/>
      <c r="E56" s="160"/>
      <c r="F56" s="160"/>
      <c r="G56" s="160"/>
      <c r="H56" s="161"/>
      <c r="I56" s="161"/>
      <c r="J56" s="173"/>
      <c r="K56" s="172"/>
      <c r="L56" s="172"/>
      <c r="M56" s="163"/>
      <c r="N56" s="172"/>
      <c r="O56" s="172"/>
      <c r="P56" s="172"/>
      <c r="Q56" s="164" t="s">
        <v>123</v>
      </c>
      <c r="R56" s="165">
        <v>70</v>
      </c>
      <c r="S56" s="165">
        <v>50</v>
      </c>
      <c r="T56" s="165">
        <f t="shared" si="0"/>
        <v>315</v>
      </c>
      <c r="U56" s="166">
        <v>210</v>
      </c>
      <c r="V56" s="165">
        <f t="shared" si="1"/>
        <v>525</v>
      </c>
      <c r="W56" s="165">
        <v>80</v>
      </c>
      <c r="X56" s="165">
        <v>58</v>
      </c>
      <c r="Y56" s="165">
        <v>63</v>
      </c>
      <c r="Z56" s="165">
        <v>40</v>
      </c>
      <c r="AA56" s="165">
        <v>25</v>
      </c>
      <c r="AB56" s="165">
        <v>50</v>
      </c>
      <c r="AC56" s="165">
        <v>30.25</v>
      </c>
      <c r="AD56" s="165">
        <v>55</v>
      </c>
      <c r="AE56" s="167" t="s">
        <v>13</v>
      </c>
      <c r="AF56" s="168">
        <v>15</v>
      </c>
      <c r="AG56" s="168">
        <f t="shared" si="2"/>
        <v>364</v>
      </c>
      <c r="AH56" s="169">
        <f t="shared" ref="AH56:AH93" si="7">(((W56*W56*3.1416/4)*(AA56+X56+U56+Y56-Z56))+((S56*S56*3.1416/4)*(Z56-(AB56/2)))-((AC56*AC56*3.1416)*W56)+(((AB56*AB56*3.1416/4)*AD56)-((AC56*AC56*3.1416/4)*AD56)))*0.00000784632+((((W56*W56*3.1416)/4)*T56)-(((R56*R56*3.1416)/4)*T56)+(((S56*S56*3.1416)/4)*T56))*0.00000784632</f>
        <v>19.191574406829822</v>
      </c>
      <c r="AI56" s="170">
        <f t="shared" si="3"/>
        <v>1.2122648999999999</v>
      </c>
      <c r="AJ56" s="170">
        <f t="shared" si="4"/>
        <v>0.59376240000000002</v>
      </c>
      <c r="AK56" s="170">
        <f t="shared" si="5"/>
        <v>0.61850249999999984</v>
      </c>
      <c r="AL56" s="171">
        <f t="shared" si="6"/>
        <v>4.8529685357999988</v>
      </c>
    </row>
    <row r="57" spans="1:40" s="158" customFormat="1" ht="18.75">
      <c r="A57" s="153"/>
      <c r="B57" s="174"/>
      <c r="C57" s="115"/>
      <c r="D57" s="159"/>
      <c r="E57" s="160"/>
      <c r="F57" s="160"/>
      <c r="G57" s="160"/>
      <c r="H57" s="161"/>
      <c r="I57" s="161"/>
      <c r="J57" s="173"/>
      <c r="K57" s="172"/>
      <c r="L57" s="172"/>
      <c r="M57" s="163"/>
      <c r="N57" s="172"/>
      <c r="O57" s="172"/>
      <c r="P57" s="172"/>
      <c r="Q57" s="164" t="s">
        <v>142</v>
      </c>
      <c r="R57" s="165">
        <v>70</v>
      </c>
      <c r="S57" s="165">
        <v>55</v>
      </c>
      <c r="T57" s="165">
        <f t="shared" si="0"/>
        <v>315</v>
      </c>
      <c r="U57" s="166">
        <v>229</v>
      </c>
      <c r="V57" s="165">
        <f t="shared" si="1"/>
        <v>544</v>
      </c>
      <c r="W57" s="165">
        <v>80</v>
      </c>
      <c r="X57" s="165">
        <v>58</v>
      </c>
      <c r="Y57" s="165">
        <v>82</v>
      </c>
      <c r="Z57" s="165">
        <v>40</v>
      </c>
      <c r="AA57" s="165">
        <v>25</v>
      </c>
      <c r="AB57" s="165">
        <v>50</v>
      </c>
      <c r="AC57" s="165">
        <v>30.25</v>
      </c>
      <c r="AD57" s="165">
        <v>80</v>
      </c>
      <c r="AE57" s="167" t="s">
        <v>13</v>
      </c>
      <c r="AF57" s="168">
        <v>15</v>
      </c>
      <c r="AG57" s="168">
        <f t="shared" si="2"/>
        <v>364</v>
      </c>
      <c r="AH57" s="169">
        <f t="shared" si="7"/>
        <v>22.002126841371595</v>
      </c>
      <c r="AI57" s="170">
        <f t="shared" si="3"/>
        <v>1.2122648999999999</v>
      </c>
      <c r="AJ57" s="170">
        <f t="shared" si="4"/>
        <v>0.46387687499999986</v>
      </c>
      <c r="AK57" s="170">
        <f t="shared" si="5"/>
        <v>0.74838802500000001</v>
      </c>
      <c r="AL57" s="171">
        <f t="shared" si="6"/>
        <v>5.8720919283179995</v>
      </c>
    </row>
    <row r="58" spans="1:40" s="158" customFormat="1" ht="18.75">
      <c r="A58" s="153"/>
      <c r="B58" s="174"/>
      <c r="C58" s="115"/>
      <c r="D58" s="159"/>
      <c r="E58" s="160"/>
      <c r="F58" s="160"/>
      <c r="G58" s="160"/>
      <c r="H58" s="161"/>
      <c r="I58" s="161"/>
      <c r="J58" s="173"/>
      <c r="K58" s="172"/>
      <c r="L58" s="172"/>
      <c r="M58" s="163"/>
      <c r="N58" s="172"/>
      <c r="O58" s="172"/>
      <c r="P58" s="172"/>
      <c r="Q58" s="164" t="s">
        <v>143</v>
      </c>
      <c r="R58" s="165">
        <v>70</v>
      </c>
      <c r="S58" s="165">
        <v>60</v>
      </c>
      <c r="T58" s="165">
        <f t="shared" si="0"/>
        <v>315</v>
      </c>
      <c r="U58" s="166">
        <v>229</v>
      </c>
      <c r="V58" s="165">
        <f t="shared" si="1"/>
        <v>544</v>
      </c>
      <c r="W58" s="165">
        <v>80</v>
      </c>
      <c r="X58" s="165">
        <v>58</v>
      </c>
      <c r="Y58" s="165">
        <v>82</v>
      </c>
      <c r="Z58" s="165">
        <v>40</v>
      </c>
      <c r="AA58" s="165">
        <v>25</v>
      </c>
      <c r="AB58" s="165">
        <v>0</v>
      </c>
      <c r="AC58" s="165">
        <v>30.25</v>
      </c>
      <c r="AD58" s="165">
        <v>60</v>
      </c>
      <c r="AE58" s="167" t="s">
        <v>13</v>
      </c>
      <c r="AF58" s="168">
        <v>15</v>
      </c>
      <c r="AG58" s="168">
        <f t="shared" si="2"/>
        <v>364</v>
      </c>
      <c r="AH58" s="169">
        <f t="shared" si="7"/>
        <v>22.606367642826658</v>
      </c>
      <c r="AI58" s="170">
        <f t="shared" si="3"/>
        <v>1.2122648999999999</v>
      </c>
      <c r="AJ58" s="170">
        <f t="shared" si="4"/>
        <v>0.32162129999999989</v>
      </c>
      <c r="AK58" s="170">
        <f t="shared" si="5"/>
        <v>0.89064359999999998</v>
      </c>
      <c r="AL58" s="171">
        <f t="shared" si="6"/>
        <v>6.9882746915519993</v>
      </c>
    </row>
    <row r="59" spans="1:40" s="158" customFormat="1" ht="18.75">
      <c r="A59" s="153"/>
      <c r="B59" s="174"/>
      <c r="C59" s="115"/>
      <c r="D59" s="159"/>
      <c r="E59" s="160"/>
      <c r="F59" s="160"/>
      <c r="G59" s="160"/>
      <c r="H59" s="161"/>
      <c r="I59" s="161"/>
      <c r="J59" s="173"/>
      <c r="K59" s="172"/>
      <c r="L59" s="172"/>
      <c r="M59" s="163"/>
      <c r="N59" s="172"/>
      <c r="O59" s="172"/>
      <c r="P59" s="172"/>
      <c r="Q59" s="164" t="s">
        <v>122</v>
      </c>
      <c r="R59" s="165">
        <v>80</v>
      </c>
      <c r="S59" s="165">
        <v>35</v>
      </c>
      <c r="T59" s="165">
        <f t="shared" si="0"/>
        <v>315</v>
      </c>
      <c r="U59" s="166">
        <v>210</v>
      </c>
      <c r="V59" s="165">
        <f t="shared" si="1"/>
        <v>525</v>
      </c>
      <c r="W59" s="165">
        <v>90</v>
      </c>
      <c r="X59" s="165">
        <v>58</v>
      </c>
      <c r="Y59" s="165">
        <v>63</v>
      </c>
      <c r="Z59" s="165">
        <v>40</v>
      </c>
      <c r="AA59" s="165">
        <v>25</v>
      </c>
      <c r="AB59" s="165">
        <v>50</v>
      </c>
      <c r="AC59" s="165">
        <v>30.25</v>
      </c>
      <c r="AD59" s="165">
        <v>55</v>
      </c>
      <c r="AE59" s="167" t="s">
        <v>13</v>
      </c>
      <c r="AF59" s="168">
        <v>15</v>
      </c>
      <c r="AG59" s="168">
        <f t="shared" si="2"/>
        <v>364</v>
      </c>
      <c r="AH59" s="169">
        <f t="shared" si="7"/>
        <v>20.071872086725303</v>
      </c>
      <c r="AI59" s="170">
        <f t="shared" si="3"/>
        <v>1.5833663999999998</v>
      </c>
      <c r="AJ59" s="170">
        <f t="shared" si="4"/>
        <v>1.2803001749999998</v>
      </c>
      <c r="AK59" s="170">
        <f t="shared" si="5"/>
        <v>0.30306622500000002</v>
      </c>
      <c r="AL59" s="171">
        <f t="shared" si="6"/>
        <v>2.3779545825419994</v>
      </c>
    </row>
    <row r="60" spans="1:40" s="158" customFormat="1" ht="18.75">
      <c r="A60" s="153"/>
      <c r="B60" s="174"/>
      <c r="C60" s="115"/>
      <c r="D60" s="159"/>
      <c r="E60" s="160"/>
      <c r="F60" s="160"/>
      <c r="G60" s="160"/>
      <c r="H60" s="161"/>
      <c r="I60" s="161"/>
      <c r="J60" s="173"/>
      <c r="K60" s="172"/>
      <c r="L60" s="172"/>
      <c r="M60" s="163"/>
      <c r="N60" s="172"/>
      <c r="O60" s="172"/>
      <c r="P60" s="172"/>
      <c r="Q60" s="164" t="s">
        <v>121</v>
      </c>
      <c r="R60" s="165">
        <v>80</v>
      </c>
      <c r="S60" s="165">
        <v>40</v>
      </c>
      <c r="T60" s="165">
        <f t="shared" si="0"/>
        <v>315</v>
      </c>
      <c r="U60" s="166">
        <v>210</v>
      </c>
      <c r="V60" s="165">
        <f t="shared" si="1"/>
        <v>525</v>
      </c>
      <c r="W60" s="165">
        <v>90</v>
      </c>
      <c r="X60" s="165">
        <v>58</v>
      </c>
      <c r="Y60" s="165">
        <v>63</v>
      </c>
      <c r="Z60" s="165">
        <v>40</v>
      </c>
      <c r="AA60" s="165">
        <v>25</v>
      </c>
      <c r="AB60" s="165">
        <v>50</v>
      </c>
      <c r="AC60" s="165">
        <v>30.25</v>
      </c>
      <c r="AD60" s="165">
        <v>55</v>
      </c>
      <c r="AE60" s="167" t="s">
        <v>13</v>
      </c>
      <c r="AF60" s="168">
        <v>15</v>
      </c>
      <c r="AG60" s="168">
        <f t="shared" si="2"/>
        <v>364</v>
      </c>
      <c r="AH60" s="169">
        <f>8.15+(2.1*T60/100)</f>
        <v>14.765000000000001</v>
      </c>
      <c r="AI60" s="170">
        <f t="shared" si="3"/>
        <v>1.5833663999999998</v>
      </c>
      <c r="AJ60" s="170">
        <f t="shared" si="4"/>
        <v>1.1875247999999998</v>
      </c>
      <c r="AK60" s="170">
        <f t="shared" si="5"/>
        <v>0.39584160000000002</v>
      </c>
      <c r="AL60" s="171">
        <f t="shared" si="6"/>
        <v>3.105899862912</v>
      </c>
      <c r="AN60" s="158" t="s">
        <v>268</v>
      </c>
    </row>
    <row r="61" spans="1:40" s="158" customFormat="1" ht="18.75">
      <c r="A61" s="153"/>
      <c r="B61" s="174"/>
      <c r="C61" s="115"/>
      <c r="D61" s="159"/>
      <c r="E61" s="160"/>
      <c r="F61" s="160"/>
      <c r="G61" s="160"/>
      <c r="H61" s="161"/>
      <c r="I61" s="161"/>
      <c r="J61" s="173"/>
      <c r="K61" s="172"/>
      <c r="L61" s="172"/>
      <c r="M61" s="163"/>
      <c r="N61" s="172"/>
      <c r="O61" s="172"/>
      <c r="P61" s="172"/>
      <c r="Q61" s="164" t="s">
        <v>120</v>
      </c>
      <c r="R61" s="165">
        <v>80</v>
      </c>
      <c r="S61" s="165">
        <v>45</v>
      </c>
      <c r="T61" s="165">
        <f t="shared" si="0"/>
        <v>315</v>
      </c>
      <c r="U61" s="166">
        <v>210</v>
      </c>
      <c r="V61" s="165">
        <f t="shared" si="1"/>
        <v>525</v>
      </c>
      <c r="W61" s="165">
        <v>90</v>
      </c>
      <c r="X61" s="165">
        <v>58</v>
      </c>
      <c r="Y61" s="165">
        <v>63</v>
      </c>
      <c r="Z61" s="165">
        <v>40</v>
      </c>
      <c r="AA61" s="165">
        <v>25</v>
      </c>
      <c r="AB61" s="165">
        <v>50</v>
      </c>
      <c r="AC61" s="165">
        <v>30.25</v>
      </c>
      <c r="AD61" s="165">
        <v>55</v>
      </c>
      <c r="AE61" s="167" t="s">
        <v>13</v>
      </c>
      <c r="AF61" s="168">
        <v>15</v>
      </c>
      <c r="AG61" s="168">
        <f t="shared" si="2"/>
        <v>364</v>
      </c>
      <c r="AH61" s="169">
        <f t="shared" si="7"/>
        <v>21.698772014917303</v>
      </c>
      <c r="AI61" s="170">
        <f t="shared" si="3"/>
        <v>1.5833663999999998</v>
      </c>
      <c r="AJ61" s="170">
        <f t="shared" si="4"/>
        <v>1.0823793749999999</v>
      </c>
      <c r="AK61" s="170">
        <f t="shared" si="5"/>
        <v>0.50098702499999992</v>
      </c>
      <c r="AL61" s="171">
        <f t="shared" si="6"/>
        <v>3.9309045139979997</v>
      </c>
    </row>
    <row r="62" spans="1:40" s="158" customFormat="1" ht="18.75">
      <c r="A62" s="153"/>
      <c r="B62" s="174"/>
      <c r="C62" s="115"/>
      <c r="D62" s="159"/>
      <c r="E62" s="160"/>
      <c r="F62" s="160"/>
      <c r="G62" s="160"/>
      <c r="H62" s="161"/>
      <c r="I62" s="161"/>
      <c r="J62" s="173"/>
      <c r="K62" s="172"/>
      <c r="L62" s="172"/>
      <c r="M62" s="163"/>
      <c r="N62" s="172"/>
      <c r="O62" s="172"/>
      <c r="P62" s="172"/>
      <c r="Q62" s="164" t="s">
        <v>119</v>
      </c>
      <c r="R62" s="165">
        <v>80</v>
      </c>
      <c r="S62" s="165">
        <v>50</v>
      </c>
      <c r="T62" s="165">
        <f t="shared" si="0"/>
        <v>315</v>
      </c>
      <c r="U62" s="166">
        <v>210</v>
      </c>
      <c r="V62" s="165">
        <f t="shared" si="1"/>
        <v>525</v>
      </c>
      <c r="W62" s="165">
        <v>90</v>
      </c>
      <c r="X62" s="165">
        <v>58</v>
      </c>
      <c r="Y62" s="165">
        <v>63</v>
      </c>
      <c r="Z62" s="165">
        <v>40</v>
      </c>
      <c r="AA62" s="165">
        <v>25</v>
      </c>
      <c r="AB62" s="165">
        <v>50</v>
      </c>
      <c r="AC62" s="165">
        <v>30.25</v>
      </c>
      <c r="AD62" s="165">
        <v>55</v>
      </c>
      <c r="AE62" s="167" t="s">
        <v>13</v>
      </c>
      <c r="AF62" s="168">
        <v>15</v>
      </c>
      <c r="AG62" s="168">
        <f t="shared" si="2"/>
        <v>364</v>
      </c>
      <c r="AH62" s="169">
        <f t="shared" si="7"/>
        <v>22.664743847281301</v>
      </c>
      <c r="AI62" s="170">
        <f t="shared" si="3"/>
        <v>1.5833663999999998</v>
      </c>
      <c r="AJ62" s="170">
        <f t="shared" si="4"/>
        <v>0.9648639</v>
      </c>
      <c r="AK62" s="170">
        <f t="shared" si="5"/>
        <v>0.61850249999999984</v>
      </c>
      <c r="AL62" s="171">
        <f t="shared" si="6"/>
        <v>4.8529685357999988</v>
      </c>
    </row>
    <row r="63" spans="1:40" s="158" customFormat="1" ht="18.75">
      <c r="A63" s="153"/>
      <c r="B63" s="174"/>
      <c r="C63" s="115"/>
      <c r="D63" s="159"/>
      <c r="E63" s="160"/>
      <c r="F63" s="160"/>
      <c r="G63" s="160"/>
      <c r="H63" s="161"/>
      <c r="I63" s="161"/>
      <c r="J63" s="173"/>
      <c r="K63" s="172"/>
      <c r="L63" s="172"/>
      <c r="M63" s="163"/>
      <c r="N63" s="172"/>
      <c r="O63" s="172"/>
      <c r="P63" s="172"/>
      <c r="Q63" s="164" t="s">
        <v>118</v>
      </c>
      <c r="R63" s="165">
        <v>80</v>
      </c>
      <c r="S63" s="165">
        <v>55</v>
      </c>
      <c r="T63" s="165">
        <f t="shared" si="0"/>
        <v>315</v>
      </c>
      <c r="U63" s="166">
        <v>210</v>
      </c>
      <c r="V63" s="165">
        <f t="shared" si="1"/>
        <v>525</v>
      </c>
      <c r="W63" s="165">
        <v>90</v>
      </c>
      <c r="X63" s="165">
        <v>58</v>
      </c>
      <c r="Y63" s="165">
        <v>63</v>
      </c>
      <c r="Z63" s="165">
        <v>40</v>
      </c>
      <c r="AA63" s="165">
        <v>25</v>
      </c>
      <c r="AB63" s="165">
        <v>50</v>
      </c>
      <c r="AC63" s="165">
        <v>30.25</v>
      </c>
      <c r="AD63" s="165">
        <v>55</v>
      </c>
      <c r="AE63" s="167" t="s">
        <v>13</v>
      </c>
      <c r="AF63" s="168">
        <v>15</v>
      </c>
      <c r="AG63" s="168">
        <f t="shared" si="2"/>
        <v>364</v>
      </c>
      <c r="AH63" s="169">
        <f t="shared" si="7"/>
        <v>23.732396925157303</v>
      </c>
      <c r="AI63" s="170">
        <f t="shared" si="3"/>
        <v>1.5833663999999998</v>
      </c>
      <c r="AJ63" s="170">
        <f t="shared" si="4"/>
        <v>0.83497837499999983</v>
      </c>
      <c r="AK63" s="170">
        <f t="shared" si="5"/>
        <v>0.74838802500000001</v>
      </c>
      <c r="AL63" s="171">
        <f t="shared" si="6"/>
        <v>5.8720919283179995</v>
      </c>
    </row>
    <row r="64" spans="1:40" s="158" customFormat="1" ht="18.75">
      <c r="A64" s="153"/>
      <c r="B64" s="174"/>
      <c r="C64" s="115"/>
      <c r="D64" s="159"/>
      <c r="E64" s="160"/>
      <c r="F64" s="160"/>
      <c r="G64" s="160"/>
      <c r="H64" s="161"/>
      <c r="I64" s="161"/>
      <c r="J64" s="173"/>
      <c r="K64" s="172"/>
      <c r="L64" s="172"/>
      <c r="M64" s="163"/>
      <c r="N64" s="172"/>
      <c r="O64" s="172"/>
      <c r="P64" s="172"/>
      <c r="Q64" s="164" t="s">
        <v>265</v>
      </c>
      <c r="R64" s="165">
        <v>80</v>
      </c>
      <c r="S64" s="165">
        <v>56</v>
      </c>
      <c r="T64" s="165">
        <f t="shared" si="0"/>
        <v>315</v>
      </c>
      <c r="U64" s="166">
        <v>215</v>
      </c>
      <c r="V64" s="165">
        <f>U64+T64</f>
        <v>530</v>
      </c>
      <c r="W64" s="165">
        <v>90</v>
      </c>
      <c r="X64" s="165">
        <v>58</v>
      </c>
      <c r="Y64" s="165">
        <v>68</v>
      </c>
      <c r="Z64" s="165">
        <v>40</v>
      </c>
      <c r="AA64" s="165">
        <v>25</v>
      </c>
      <c r="AB64" s="165">
        <v>50</v>
      </c>
      <c r="AC64" s="165">
        <v>30.25</v>
      </c>
      <c r="AD64" s="165">
        <v>55</v>
      </c>
      <c r="AE64" s="167" t="s">
        <v>13</v>
      </c>
      <c r="AF64" s="168">
        <v>15</v>
      </c>
      <c r="AG64" s="168">
        <f>V64-X64-Y64-Z64</f>
        <v>364</v>
      </c>
      <c r="AH64" s="169">
        <f t="shared" si="7"/>
        <v>24.457291768161944</v>
      </c>
      <c r="AI64" s="170">
        <f>((3.1416*(R64*R64)/4)*T64)*0.000001</f>
        <v>1.5833663999999998</v>
      </c>
      <c r="AJ64" s="170">
        <f>AI64-(((3.1416*S64*S64)/4)*T64*0.000001)</f>
        <v>0.80751686399999989</v>
      </c>
      <c r="AK64" s="170">
        <f>AI64-AJ64</f>
        <v>0.77584953599999995</v>
      </c>
      <c r="AL64" s="171">
        <f>((((3.1416*S64*S64)/4)*T64)*0.0000001)*78.4632</f>
        <v>6.0875637313075197</v>
      </c>
    </row>
    <row r="65" spans="1:40" s="158" customFormat="1" ht="18.75">
      <c r="A65" s="153"/>
      <c r="B65" s="174"/>
      <c r="C65" s="115"/>
      <c r="D65" s="159"/>
      <c r="E65" s="160"/>
      <c r="F65" s="160"/>
      <c r="G65" s="160"/>
      <c r="H65" s="161"/>
      <c r="I65" s="161"/>
      <c r="J65" s="173"/>
      <c r="K65" s="172"/>
      <c r="L65" s="172"/>
      <c r="M65" s="163"/>
      <c r="N65" s="172"/>
      <c r="O65" s="172"/>
      <c r="P65" s="172"/>
      <c r="Q65" s="164" t="s">
        <v>117</v>
      </c>
      <c r="R65" s="165">
        <v>80</v>
      </c>
      <c r="S65" s="165">
        <v>60</v>
      </c>
      <c r="T65" s="165">
        <f t="shared" si="0"/>
        <v>315</v>
      </c>
      <c r="U65" s="166">
        <v>210</v>
      </c>
      <c r="V65" s="165">
        <f t="shared" si="1"/>
        <v>525</v>
      </c>
      <c r="W65" s="165">
        <v>90</v>
      </c>
      <c r="X65" s="165">
        <v>58</v>
      </c>
      <c r="Y65" s="165">
        <v>63</v>
      </c>
      <c r="Z65" s="165">
        <v>40</v>
      </c>
      <c r="AA65" s="165">
        <v>25</v>
      </c>
      <c r="AB65" s="165">
        <v>0</v>
      </c>
      <c r="AC65" s="165">
        <v>30.25</v>
      </c>
      <c r="AD65" s="165">
        <v>60</v>
      </c>
      <c r="AE65" s="167" t="s">
        <v>13</v>
      </c>
      <c r="AF65" s="168">
        <v>15</v>
      </c>
      <c r="AG65" s="168">
        <f t="shared" si="2"/>
        <v>364</v>
      </c>
      <c r="AH65" s="169">
        <f t="shared" si="7"/>
        <v>24.580817149428533</v>
      </c>
      <c r="AI65" s="170">
        <f t="shared" si="3"/>
        <v>1.5833663999999998</v>
      </c>
      <c r="AJ65" s="170">
        <f t="shared" si="4"/>
        <v>0.69272279999999986</v>
      </c>
      <c r="AK65" s="170">
        <f t="shared" si="5"/>
        <v>0.89064359999999998</v>
      </c>
      <c r="AL65" s="171">
        <f t="shared" si="6"/>
        <v>6.9882746915519993</v>
      </c>
    </row>
    <row r="66" spans="1:40" s="158" customFormat="1" ht="18.75">
      <c r="A66" s="153"/>
      <c r="B66" s="174"/>
      <c r="C66" s="115"/>
      <c r="D66" s="159"/>
      <c r="E66" s="160"/>
      <c r="F66" s="160"/>
      <c r="G66" s="160"/>
      <c r="H66" s="161"/>
      <c r="I66" s="161"/>
      <c r="J66" s="173"/>
      <c r="K66" s="172"/>
      <c r="L66" s="172"/>
      <c r="M66" s="163"/>
      <c r="N66" s="172"/>
      <c r="O66" s="172"/>
      <c r="P66" s="172"/>
      <c r="Q66" s="164" t="s">
        <v>144</v>
      </c>
      <c r="R66" s="165">
        <v>90</v>
      </c>
      <c r="S66" s="165">
        <v>35</v>
      </c>
      <c r="T66" s="165">
        <f t="shared" si="0"/>
        <v>315</v>
      </c>
      <c r="U66" s="166">
        <v>210</v>
      </c>
      <c r="V66" s="165">
        <f t="shared" si="1"/>
        <v>525</v>
      </c>
      <c r="W66" s="165">
        <v>100</v>
      </c>
      <c r="X66" s="165">
        <v>58</v>
      </c>
      <c r="Y66" s="165">
        <v>65</v>
      </c>
      <c r="Z66" s="165">
        <v>38</v>
      </c>
      <c r="AA66" s="165">
        <v>25</v>
      </c>
      <c r="AB66" s="165">
        <v>50</v>
      </c>
      <c r="AC66" s="165">
        <v>30.25</v>
      </c>
      <c r="AD66" s="165">
        <v>55</v>
      </c>
      <c r="AE66" s="167" t="s">
        <v>13</v>
      </c>
      <c r="AF66" s="168">
        <v>15</v>
      </c>
      <c r="AG66" s="168">
        <f t="shared" si="2"/>
        <v>364</v>
      </c>
      <c r="AH66" s="169">
        <f t="shared" si="7"/>
        <v>24.165913374772781</v>
      </c>
      <c r="AI66" s="170">
        <f t="shared" si="3"/>
        <v>2.0039480999999997</v>
      </c>
      <c r="AJ66" s="170">
        <f t="shared" si="4"/>
        <v>1.7008818749999997</v>
      </c>
      <c r="AK66" s="170">
        <f t="shared" si="5"/>
        <v>0.30306622500000002</v>
      </c>
      <c r="AL66" s="171">
        <f t="shared" si="6"/>
        <v>2.3779545825419994</v>
      </c>
    </row>
    <row r="67" spans="1:40" s="158" customFormat="1" ht="18.75">
      <c r="A67" s="153"/>
      <c r="B67" s="174"/>
      <c r="C67" s="115"/>
      <c r="D67" s="159"/>
      <c r="E67" s="160"/>
      <c r="F67" s="160"/>
      <c r="G67" s="160"/>
      <c r="H67" s="161"/>
      <c r="I67" s="161"/>
      <c r="J67" s="173"/>
      <c r="K67" s="172"/>
      <c r="L67" s="172"/>
      <c r="M67" s="163"/>
      <c r="N67" s="172"/>
      <c r="O67" s="172"/>
      <c r="P67" s="172"/>
      <c r="Q67" s="164" t="s">
        <v>116</v>
      </c>
      <c r="R67" s="165">
        <v>90</v>
      </c>
      <c r="S67" s="165">
        <v>40</v>
      </c>
      <c r="T67" s="165">
        <f t="shared" si="0"/>
        <v>315</v>
      </c>
      <c r="U67" s="166">
        <v>210</v>
      </c>
      <c r="V67" s="165">
        <f t="shared" si="1"/>
        <v>525</v>
      </c>
      <c r="W67" s="165">
        <v>100</v>
      </c>
      <c r="X67" s="165">
        <v>58</v>
      </c>
      <c r="Y67" s="165">
        <v>65</v>
      </c>
      <c r="Z67" s="165">
        <v>38</v>
      </c>
      <c r="AA67" s="165">
        <v>25</v>
      </c>
      <c r="AB67" s="165">
        <v>50</v>
      </c>
      <c r="AC67" s="165">
        <v>30.25</v>
      </c>
      <c r="AD67" s="165">
        <v>55</v>
      </c>
      <c r="AE67" s="167" t="s">
        <v>13</v>
      </c>
      <c r="AF67" s="168">
        <v>15</v>
      </c>
      <c r="AG67" s="168">
        <f t="shared" si="2"/>
        <v>364</v>
      </c>
      <c r="AH67" s="169">
        <f t="shared" si="7"/>
        <v>24.92390084131678</v>
      </c>
      <c r="AI67" s="170">
        <f t="shared" si="3"/>
        <v>2.0039480999999997</v>
      </c>
      <c r="AJ67" s="170">
        <f t="shared" si="4"/>
        <v>1.6081064999999997</v>
      </c>
      <c r="AK67" s="170">
        <f t="shared" si="5"/>
        <v>0.39584160000000002</v>
      </c>
      <c r="AL67" s="171">
        <f t="shared" si="6"/>
        <v>3.105899862912</v>
      </c>
    </row>
    <row r="68" spans="1:40" s="158" customFormat="1" ht="18.75">
      <c r="A68" s="153"/>
      <c r="B68" s="174"/>
      <c r="C68" s="115"/>
      <c r="D68" s="159"/>
      <c r="E68" s="160"/>
      <c r="F68" s="160"/>
      <c r="G68" s="160"/>
      <c r="H68" s="161"/>
      <c r="I68" s="161"/>
      <c r="J68" s="173"/>
      <c r="K68" s="172"/>
      <c r="L68" s="172"/>
      <c r="M68" s="163"/>
      <c r="N68" s="172"/>
      <c r="O68" s="172"/>
      <c r="P68" s="172"/>
      <c r="Q68" s="164" t="s">
        <v>115</v>
      </c>
      <c r="R68" s="165">
        <v>90</v>
      </c>
      <c r="S68" s="165">
        <v>45</v>
      </c>
      <c r="T68" s="165">
        <f t="shared" si="0"/>
        <v>315</v>
      </c>
      <c r="U68" s="166">
        <v>210</v>
      </c>
      <c r="V68" s="165">
        <f t="shared" si="1"/>
        <v>525</v>
      </c>
      <c r="W68" s="165">
        <v>100</v>
      </c>
      <c r="X68" s="165">
        <v>58</v>
      </c>
      <c r="Y68" s="165">
        <v>65</v>
      </c>
      <c r="Z68" s="165">
        <v>38</v>
      </c>
      <c r="AA68" s="165">
        <v>25</v>
      </c>
      <c r="AB68" s="165">
        <v>50</v>
      </c>
      <c r="AC68" s="165">
        <v>30.25</v>
      </c>
      <c r="AD68" s="165">
        <v>55</v>
      </c>
      <c r="AE68" s="167" t="s">
        <v>13</v>
      </c>
      <c r="AF68" s="168">
        <v>15</v>
      </c>
      <c r="AG68" s="168">
        <f t="shared" si="2"/>
        <v>364</v>
      </c>
      <c r="AH68" s="169">
        <f t="shared" si="7"/>
        <v>25.782953303399978</v>
      </c>
      <c r="AI68" s="170">
        <f t="shared" si="3"/>
        <v>2.0039480999999997</v>
      </c>
      <c r="AJ68" s="170">
        <f t="shared" si="4"/>
        <v>1.5029610749999998</v>
      </c>
      <c r="AK68" s="170">
        <f t="shared" si="5"/>
        <v>0.50098702499999992</v>
      </c>
      <c r="AL68" s="171">
        <f t="shared" si="6"/>
        <v>3.9309045139979997</v>
      </c>
    </row>
    <row r="69" spans="1:40" s="158" customFormat="1" ht="18.75">
      <c r="A69" s="153"/>
      <c r="B69" s="174"/>
      <c r="C69" s="115"/>
      <c r="D69" s="159"/>
      <c r="E69" s="160"/>
      <c r="F69" s="160"/>
      <c r="G69" s="160"/>
      <c r="H69" s="161"/>
      <c r="I69" s="161"/>
      <c r="J69" s="173"/>
      <c r="K69" s="172"/>
      <c r="L69" s="172"/>
      <c r="M69" s="163"/>
      <c r="N69" s="172"/>
      <c r="O69" s="172"/>
      <c r="P69" s="172"/>
      <c r="Q69" s="164" t="s">
        <v>114</v>
      </c>
      <c r="R69" s="165">
        <v>90</v>
      </c>
      <c r="S69" s="165">
        <v>50</v>
      </c>
      <c r="T69" s="165">
        <f t="shared" si="0"/>
        <v>315</v>
      </c>
      <c r="U69" s="166">
        <v>210</v>
      </c>
      <c r="V69" s="165">
        <f t="shared" si="1"/>
        <v>525</v>
      </c>
      <c r="W69" s="165">
        <v>100</v>
      </c>
      <c r="X69" s="165">
        <v>58</v>
      </c>
      <c r="Y69" s="165">
        <v>65</v>
      </c>
      <c r="Z69" s="165">
        <v>38</v>
      </c>
      <c r="AA69" s="165">
        <v>25</v>
      </c>
      <c r="AB69" s="165">
        <v>50</v>
      </c>
      <c r="AC69" s="165">
        <v>30.25</v>
      </c>
      <c r="AD69" s="165">
        <v>55</v>
      </c>
      <c r="AE69" s="167" t="s">
        <v>13</v>
      </c>
      <c r="AF69" s="168">
        <v>15</v>
      </c>
      <c r="AG69" s="168">
        <f t="shared" si="2"/>
        <v>364</v>
      </c>
      <c r="AH69" s="169">
        <f t="shared" si="7"/>
        <v>26.743070761022381</v>
      </c>
      <c r="AI69" s="170">
        <f t="shared" si="3"/>
        <v>2.0039480999999997</v>
      </c>
      <c r="AJ69" s="170">
        <f t="shared" si="4"/>
        <v>1.3854455999999997</v>
      </c>
      <c r="AK69" s="170">
        <f t="shared" si="5"/>
        <v>0.61850249999999996</v>
      </c>
      <c r="AL69" s="171">
        <f t="shared" si="6"/>
        <v>4.8529685357999988</v>
      </c>
    </row>
    <row r="70" spans="1:40" s="158" customFormat="1" ht="18.75">
      <c r="A70" s="175"/>
      <c r="B70" s="175"/>
      <c r="C70" s="115"/>
      <c r="D70" s="159"/>
      <c r="E70" s="160"/>
      <c r="F70" s="160"/>
      <c r="G70" s="160"/>
      <c r="H70" s="161"/>
      <c r="I70" s="161"/>
      <c r="J70" s="173"/>
      <c r="K70" s="172"/>
      <c r="L70" s="172"/>
      <c r="M70" s="163"/>
      <c r="N70" s="172"/>
      <c r="O70" s="172"/>
      <c r="P70" s="172"/>
      <c r="Q70" s="164" t="s">
        <v>145</v>
      </c>
      <c r="R70" s="165">
        <v>90</v>
      </c>
      <c r="S70" s="165">
        <v>55</v>
      </c>
      <c r="T70" s="165">
        <f t="shared" si="0"/>
        <v>315</v>
      </c>
      <c r="U70" s="166">
        <v>210</v>
      </c>
      <c r="V70" s="165">
        <f t="shared" si="1"/>
        <v>525</v>
      </c>
      <c r="W70" s="165">
        <v>100</v>
      </c>
      <c r="X70" s="165">
        <v>58</v>
      </c>
      <c r="Y70" s="165">
        <v>65</v>
      </c>
      <c r="Z70" s="165">
        <v>38</v>
      </c>
      <c r="AA70" s="165">
        <v>25</v>
      </c>
      <c r="AB70" s="165">
        <v>50</v>
      </c>
      <c r="AC70" s="165">
        <v>30.25</v>
      </c>
      <c r="AD70" s="165">
        <v>80</v>
      </c>
      <c r="AE70" s="167" t="s">
        <v>13</v>
      </c>
      <c r="AF70" s="168">
        <v>15</v>
      </c>
      <c r="AG70" s="168">
        <f t="shared" si="2"/>
        <v>364</v>
      </c>
      <c r="AH70" s="169">
        <f t="shared" si="7"/>
        <v>28.048432637000161</v>
      </c>
      <c r="AI70" s="170">
        <f t="shared" si="3"/>
        <v>2.0039480999999997</v>
      </c>
      <c r="AJ70" s="170">
        <f t="shared" si="4"/>
        <v>1.2555600749999996</v>
      </c>
      <c r="AK70" s="170">
        <f t="shared" si="5"/>
        <v>0.74838802500000012</v>
      </c>
      <c r="AL70" s="171">
        <f t="shared" si="6"/>
        <v>5.8720919283179995</v>
      </c>
    </row>
    <row r="71" spans="1:40" s="158" customFormat="1" ht="18.75">
      <c r="A71" s="175"/>
      <c r="B71" s="175"/>
      <c r="C71" s="115"/>
      <c r="D71" s="159"/>
      <c r="E71" s="160"/>
      <c r="F71" s="160"/>
      <c r="G71" s="160"/>
      <c r="H71" s="161"/>
      <c r="I71" s="161"/>
      <c r="J71" s="173"/>
      <c r="K71" s="172"/>
      <c r="L71" s="172"/>
      <c r="M71" s="163"/>
      <c r="N71" s="172"/>
      <c r="O71" s="172"/>
      <c r="P71" s="172"/>
      <c r="Q71" s="164" t="s">
        <v>113</v>
      </c>
      <c r="R71" s="165">
        <v>90</v>
      </c>
      <c r="S71" s="165">
        <v>60</v>
      </c>
      <c r="T71" s="165">
        <f t="shared" si="0"/>
        <v>315</v>
      </c>
      <c r="U71" s="166">
        <v>210</v>
      </c>
      <c r="V71" s="165">
        <f t="shared" si="1"/>
        <v>525</v>
      </c>
      <c r="W71" s="165">
        <v>100</v>
      </c>
      <c r="X71" s="165">
        <v>58</v>
      </c>
      <c r="Y71" s="165">
        <v>65</v>
      </c>
      <c r="Z71" s="165">
        <v>38</v>
      </c>
      <c r="AA71" s="165">
        <v>25</v>
      </c>
      <c r="AB71" s="165">
        <v>0</v>
      </c>
      <c r="AC71" s="165">
        <v>30.25</v>
      </c>
      <c r="AD71" s="165">
        <v>60</v>
      </c>
      <c r="AE71" s="167" t="s">
        <v>13</v>
      </c>
      <c r="AF71" s="168">
        <v>15</v>
      </c>
      <c r="AG71" s="168">
        <f t="shared" si="2"/>
        <v>364</v>
      </c>
      <c r="AH71" s="169">
        <f t="shared" si="7"/>
        <v>28.64558656376802</v>
      </c>
      <c r="AI71" s="170">
        <f t="shared" si="3"/>
        <v>2.0039480999999997</v>
      </c>
      <c r="AJ71" s="170">
        <f t="shared" si="4"/>
        <v>1.1133044999999997</v>
      </c>
      <c r="AK71" s="170">
        <f t="shared" si="5"/>
        <v>0.89064359999999998</v>
      </c>
      <c r="AL71" s="171">
        <f t="shared" si="6"/>
        <v>6.9882746915519993</v>
      </c>
    </row>
    <row r="72" spans="1:40" s="158" customFormat="1" ht="18.75">
      <c r="A72" s="175"/>
      <c r="B72" s="175"/>
      <c r="C72" s="115"/>
      <c r="D72" s="159"/>
      <c r="E72" s="160"/>
      <c r="F72" s="160"/>
      <c r="G72" s="160"/>
      <c r="H72" s="161"/>
      <c r="I72" s="161"/>
      <c r="J72" s="173"/>
      <c r="K72" s="172"/>
      <c r="L72" s="172"/>
      <c r="M72" s="163"/>
      <c r="N72" s="172"/>
      <c r="O72" s="172"/>
      <c r="P72" s="172"/>
      <c r="Q72" s="164" t="s">
        <v>112</v>
      </c>
      <c r="R72" s="165">
        <v>90</v>
      </c>
      <c r="S72" s="165">
        <v>70</v>
      </c>
      <c r="T72" s="165">
        <f t="shared" si="0"/>
        <v>315</v>
      </c>
      <c r="U72" s="166">
        <v>210</v>
      </c>
      <c r="V72" s="165">
        <f t="shared" si="1"/>
        <v>525</v>
      </c>
      <c r="W72" s="165">
        <v>100</v>
      </c>
      <c r="X72" s="165">
        <v>58</v>
      </c>
      <c r="Y72" s="165">
        <v>65</v>
      </c>
      <c r="Z72" s="165">
        <v>38</v>
      </c>
      <c r="AA72" s="165">
        <v>25</v>
      </c>
      <c r="AB72" s="165">
        <v>0</v>
      </c>
      <c r="AC72" s="165">
        <v>30.25</v>
      </c>
      <c r="AD72" s="165">
        <v>70</v>
      </c>
      <c r="AE72" s="167" t="s">
        <v>13</v>
      </c>
      <c r="AF72" s="168">
        <v>15</v>
      </c>
      <c r="AG72" s="168">
        <f t="shared" si="2"/>
        <v>364</v>
      </c>
      <c r="AH72" s="169">
        <f t="shared" si="7"/>
        <v>31.417166964873687</v>
      </c>
      <c r="AI72" s="170">
        <f t="shared" si="3"/>
        <v>2.0039480999999997</v>
      </c>
      <c r="AJ72" s="170">
        <f t="shared" si="4"/>
        <v>0.79168319999999981</v>
      </c>
      <c r="AK72" s="170">
        <f t="shared" si="5"/>
        <v>1.2122648999999999</v>
      </c>
      <c r="AL72" s="171">
        <f t="shared" si="6"/>
        <v>9.5118183301679977</v>
      </c>
    </row>
    <row r="73" spans="1:40" s="158" customFormat="1" ht="18.75">
      <c r="A73" s="175"/>
      <c r="B73" s="175"/>
      <c r="C73" s="115"/>
      <c r="D73" s="159"/>
      <c r="E73" s="160"/>
      <c r="F73" s="160"/>
      <c r="G73" s="160"/>
      <c r="H73" s="161"/>
      <c r="I73" s="161"/>
      <c r="J73" s="173"/>
      <c r="K73" s="172"/>
      <c r="L73" s="172"/>
      <c r="M73" s="163"/>
      <c r="N73" s="172"/>
      <c r="O73" s="172"/>
      <c r="P73" s="172"/>
      <c r="Q73" s="164" t="s">
        <v>146</v>
      </c>
      <c r="R73" s="165">
        <v>100</v>
      </c>
      <c r="S73" s="165">
        <v>40</v>
      </c>
      <c r="T73" s="165">
        <f t="shared" si="0"/>
        <v>315</v>
      </c>
      <c r="U73" s="166">
        <v>225</v>
      </c>
      <c r="V73" s="165">
        <f t="shared" si="1"/>
        <v>540</v>
      </c>
      <c r="W73" s="165">
        <v>115</v>
      </c>
      <c r="X73" s="165">
        <v>44.5</v>
      </c>
      <c r="Y73" s="165">
        <v>67</v>
      </c>
      <c r="Z73" s="165">
        <v>46.5</v>
      </c>
      <c r="AA73" s="165">
        <v>33.5</v>
      </c>
      <c r="AB73" s="165">
        <v>65</v>
      </c>
      <c r="AC73" s="165">
        <v>30.25</v>
      </c>
      <c r="AD73" s="165">
        <v>70</v>
      </c>
      <c r="AE73" s="167" t="s">
        <v>13</v>
      </c>
      <c r="AF73" s="168">
        <v>15</v>
      </c>
      <c r="AG73" s="168">
        <f t="shared" si="2"/>
        <v>382</v>
      </c>
      <c r="AH73" s="169">
        <f t="shared" si="7"/>
        <v>34.703065741715903</v>
      </c>
      <c r="AI73" s="170">
        <f t="shared" si="3"/>
        <v>2.4740099999999998</v>
      </c>
      <c r="AJ73" s="170">
        <f t="shared" si="4"/>
        <v>2.0781684</v>
      </c>
      <c r="AK73" s="170">
        <f t="shared" si="5"/>
        <v>0.39584159999999979</v>
      </c>
      <c r="AL73" s="171">
        <f t="shared" si="6"/>
        <v>3.105899862912</v>
      </c>
    </row>
    <row r="74" spans="1:40" s="158" customFormat="1" ht="18.75">
      <c r="A74" s="175"/>
      <c r="B74" s="175"/>
      <c r="C74" s="115"/>
      <c r="D74" s="159"/>
      <c r="E74" s="160"/>
      <c r="F74" s="160"/>
      <c r="G74" s="160"/>
      <c r="H74" s="161"/>
      <c r="I74" s="161"/>
      <c r="J74" s="173"/>
      <c r="K74" s="172"/>
      <c r="L74" s="172"/>
      <c r="M74" s="163"/>
      <c r="N74" s="172"/>
      <c r="O74" s="172"/>
      <c r="P74" s="172"/>
      <c r="Q74" s="164" t="s">
        <v>147</v>
      </c>
      <c r="R74" s="165">
        <v>100</v>
      </c>
      <c r="S74" s="165">
        <v>45</v>
      </c>
      <c r="T74" s="165">
        <f t="shared" si="0"/>
        <v>315</v>
      </c>
      <c r="U74" s="166">
        <v>225</v>
      </c>
      <c r="V74" s="165">
        <f t="shared" si="1"/>
        <v>540</v>
      </c>
      <c r="W74" s="165">
        <v>115</v>
      </c>
      <c r="X74" s="165">
        <v>44.5</v>
      </c>
      <c r="Y74" s="165">
        <v>67</v>
      </c>
      <c r="Z74" s="165">
        <v>46.5</v>
      </c>
      <c r="AA74" s="165">
        <v>33.5</v>
      </c>
      <c r="AB74" s="165">
        <v>65</v>
      </c>
      <c r="AC74" s="165">
        <v>30.25</v>
      </c>
      <c r="AD74" s="165">
        <v>70</v>
      </c>
      <c r="AE74" s="167" t="s">
        <v>13</v>
      </c>
      <c r="AF74" s="168">
        <v>15</v>
      </c>
      <c r="AG74" s="168">
        <f t="shared" si="2"/>
        <v>382</v>
      </c>
      <c r="AH74" s="169">
        <f t="shared" si="7"/>
        <v>35.564737266183499</v>
      </c>
      <c r="AI74" s="170">
        <f t="shared" si="3"/>
        <v>2.4740099999999998</v>
      </c>
      <c r="AJ74" s="170">
        <f t="shared" si="4"/>
        <v>1.9730229749999999</v>
      </c>
      <c r="AK74" s="170">
        <f t="shared" si="5"/>
        <v>0.50098702499999992</v>
      </c>
      <c r="AL74" s="171">
        <f t="shared" si="6"/>
        <v>3.9309045139979997</v>
      </c>
    </row>
    <row r="75" spans="1:40" s="158" customFormat="1" ht="18.75">
      <c r="A75" s="175"/>
      <c r="B75" s="175"/>
      <c r="C75" s="115"/>
      <c r="D75" s="159"/>
      <c r="E75" s="160"/>
      <c r="F75" s="160"/>
      <c r="G75" s="160"/>
      <c r="H75" s="161"/>
      <c r="I75" s="161"/>
      <c r="J75" s="173"/>
      <c r="K75" s="172"/>
      <c r="L75" s="172"/>
      <c r="M75" s="163"/>
      <c r="N75" s="172"/>
      <c r="O75" s="172"/>
      <c r="P75" s="172"/>
      <c r="Q75" s="164" t="s">
        <v>111</v>
      </c>
      <c r="R75" s="165">
        <v>100</v>
      </c>
      <c r="S75" s="165">
        <v>50</v>
      </c>
      <c r="T75" s="165">
        <f t="shared" si="0"/>
        <v>315</v>
      </c>
      <c r="U75" s="166">
        <v>225</v>
      </c>
      <c r="V75" s="165">
        <f t="shared" si="1"/>
        <v>540</v>
      </c>
      <c r="W75" s="165">
        <v>115</v>
      </c>
      <c r="X75" s="165">
        <v>54.5</v>
      </c>
      <c r="Y75" s="165">
        <v>67</v>
      </c>
      <c r="Z75" s="165">
        <v>46.5</v>
      </c>
      <c r="AA75" s="165">
        <v>33.5</v>
      </c>
      <c r="AB75" s="165">
        <v>65</v>
      </c>
      <c r="AC75" s="165">
        <v>30.25</v>
      </c>
      <c r="AD75" s="165">
        <v>70</v>
      </c>
      <c r="AE75" s="167" t="s">
        <v>13</v>
      </c>
      <c r="AF75" s="168">
        <v>15</v>
      </c>
      <c r="AG75" s="168">
        <f t="shared" si="2"/>
        <v>372</v>
      </c>
      <c r="AH75" s="169">
        <f>15.74+(3.4875*T60/100)</f>
        <v>26.725625000000001</v>
      </c>
      <c r="AI75" s="170">
        <f t="shared" si="3"/>
        <v>2.4740099999999998</v>
      </c>
      <c r="AJ75" s="170">
        <f t="shared" si="4"/>
        <v>1.8555074999999999</v>
      </c>
      <c r="AK75" s="170">
        <f t="shared" si="5"/>
        <v>0.61850249999999996</v>
      </c>
      <c r="AL75" s="171">
        <f t="shared" si="6"/>
        <v>4.8529685357999988</v>
      </c>
      <c r="AN75" s="158" t="s">
        <v>268</v>
      </c>
    </row>
    <row r="76" spans="1:40" s="158" customFormat="1" ht="18.75">
      <c r="A76" s="175"/>
      <c r="B76" s="175"/>
      <c r="C76" s="115"/>
      <c r="D76" s="159"/>
      <c r="E76" s="160"/>
      <c r="F76" s="160"/>
      <c r="G76" s="160"/>
      <c r="H76" s="161"/>
      <c r="I76" s="161"/>
      <c r="J76" s="173"/>
      <c r="K76" s="172"/>
      <c r="L76" s="172"/>
      <c r="M76" s="163"/>
      <c r="N76" s="172"/>
      <c r="O76" s="172"/>
      <c r="P76" s="172"/>
      <c r="Q76" s="164" t="s">
        <v>148</v>
      </c>
      <c r="R76" s="165">
        <v>100</v>
      </c>
      <c r="S76" s="165">
        <v>55</v>
      </c>
      <c r="T76" s="165">
        <f t="shared" si="0"/>
        <v>315</v>
      </c>
      <c r="U76" s="166">
        <v>225</v>
      </c>
      <c r="V76" s="165">
        <f t="shared" si="1"/>
        <v>540</v>
      </c>
      <c r="W76" s="165">
        <v>115</v>
      </c>
      <c r="X76" s="165">
        <v>54.5</v>
      </c>
      <c r="Y76" s="165">
        <v>67</v>
      </c>
      <c r="Z76" s="165">
        <v>46.5</v>
      </c>
      <c r="AA76" s="165">
        <v>33.5</v>
      </c>
      <c r="AB76" s="165">
        <v>65</v>
      </c>
      <c r="AC76" s="165">
        <v>30.25</v>
      </c>
      <c r="AD76" s="165">
        <v>70</v>
      </c>
      <c r="AE76" s="167" t="s">
        <v>13</v>
      </c>
      <c r="AF76" s="168">
        <v>15</v>
      </c>
      <c r="AG76" s="168">
        <f t="shared" si="2"/>
        <v>372</v>
      </c>
      <c r="AH76" s="169">
        <f t="shared" si="7"/>
        <v>38.4071902657235</v>
      </c>
      <c r="AI76" s="170">
        <f t="shared" si="3"/>
        <v>2.4740099999999998</v>
      </c>
      <c r="AJ76" s="170">
        <f t="shared" si="4"/>
        <v>1.7256219749999997</v>
      </c>
      <c r="AK76" s="170">
        <f t="shared" si="5"/>
        <v>0.74838802500000012</v>
      </c>
      <c r="AL76" s="171">
        <f t="shared" si="6"/>
        <v>5.8720919283179995</v>
      </c>
    </row>
    <row r="77" spans="1:40" s="158" customFormat="1" ht="18.75">
      <c r="A77" s="175"/>
      <c r="B77" s="175"/>
      <c r="C77" s="115"/>
      <c r="D77" s="159"/>
      <c r="E77" s="160"/>
      <c r="F77" s="160"/>
      <c r="G77" s="160"/>
      <c r="H77" s="161"/>
      <c r="I77" s="161"/>
      <c r="J77" s="173"/>
      <c r="K77" s="172"/>
      <c r="L77" s="172"/>
      <c r="M77" s="163"/>
      <c r="N77" s="172"/>
      <c r="O77" s="172"/>
      <c r="P77" s="172"/>
      <c r="Q77" s="164" t="s">
        <v>110</v>
      </c>
      <c r="R77" s="165">
        <v>100</v>
      </c>
      <c r="S77" s="165">
        <v>60</v>
      </c>
      <c r="T77" s="165">
        <f t="shared" si="0"/>
        <v>315</v>
      </c>
      <c r="U77" s="166">
        <v>225</v>
      </c>
      <c r="V77" s="165">
        <f t="shared" si="1"/>
        <v>540</v>
      </c>
      <c r="W77" s="165">
        <v>115</v>
      </c>
      <c r="X77" s="165">
        <v>54.5</v>
      </c>
      <c r="Y77" s="165">
        <v>67</v>
      </c>
      <c r="Z77" s="165">
        <v>46.5</v>
      </c>
      <c r="AA77" s="165">
        <v>33.5</v>
      </c>
      <c r="AB77" s="165">
        <v>65</v>
      </c>
      <c r="AC77" s="165">
        <v>30.25</v>
      </c>
      <c r="AD77" s="165">
        <v>70</v>
      </c>
      <c r="AE77" s="167" t="s">
        <v>13</v>
      </c>
      <c r="AF77" s="168">
        <v>15</v>
      </c>
      <c r="AG77" s="168">
        <f t="shared" si="2"/>
        <v>372</v>
      </c>
      <c r="AH77" s="169">
        <f t="shared" si="7"/>
        <v>39.572981151767905</v>
      </c>
      <c r="AI77" s="170">
        <f t="shared" si="3"/>
        <v>2.4740099999999998</v>
      </c>
      <c r="AJ77" s="170">
        <f t="shared" si="4"/>
        <v>1.5833663999999998</v>
      </c>
      <c r="AK77" s="170">
        <f t="shared" si="5"/>
        <v>0.89064359999999998</v>
      </c>
      <c r="AL77" s="171">
        <f t="shared" si="6"/>
        <v>6.9882746915519993</v>
      </c>
    </row>
    <row r="78" spans="1:40" s="158" customFormat="1" ht="18.75">
      <c r="A78" s="175" t="s">
        <v>267</v>
      </c>
      <c r="B78" s="175"/>
      <c r="C78" s="115"/>
      <c r="D78" s="159"/>
      <c r="E78" s="160"/>
      <c r="F78" s="160"/>
      <c r="G78" s="160"/>
      <c r="H78" s="161"/>
      <c r="I78" s="161"/>
      <c r="J78" s="173"/>
      <c r="K78" s="172"/>
      <c r="L78" s="172"/>
      <c r="M78" s="163"/>
      <c r="N78" s="172"/>
      <c r="O78" s="172"/>
      <c r="P78" s="172"/>
      <c r="Q78" s="164" t="s">
        <v>109</v>
      </c>
      <c r="R78" s="165">
        <v>100</v>
      </c>
      <c r="S78" s="165">
        <v>70</v>
      </c>
      <c r="T78" s="165">
        <f t="shared" si="0"/>
        <v>315</v>
      </c>
      <c r="U78" s="166">
        <v>225</v>
      </c>
      <c r="V78" s="165">
        <f t="shared" si="1"/>
        <v>540</v>
      </c>
      <c r="W78" s="165">
        <v>115</v>
      </c>
      <c r="X78" s="165">
        <v>54.5</v>
      </c>
      <c r="Y78" s="165">
        <v>67</v>
      </c>
      <c r="Z78" s="165">
        <v>46.5</v>
      </c>
      <c r="AA78" s="165">
        <v>33.5</v>
      </c>
      <c r="AB78" s="165">
        <v>65</v>
      </c>
      <c r="AC78" s="165">
        <v>30.25</v>
      </c>
      <c r="AD78" s="165">
        <v>70</v>
      </c>
      <c r="AE78" s="167" t="s">
        <v>13</v>
      </c>
      <c r="AF78" s="168">
        <v>15</v>
      </c>
      <c r="AG78" s="168">
        <f t="shared" si="2"/>
        <v>372</v>
      </c>
      <c r="AH78" s="169">
        <f t="shared" si="7"/>
        <v>42.208682285433504</v>
      </c>
      <c r="AI78" s="170">
        <f t="shared" si="3"/>
        <v>2.4740099999999998</v>
      </c>
      <c r="AJ78" s="170">
        <f t="shared" si="4"/>
        <v>1.2617451</v>
      </c>
      <c r="AK78" s="170">
        <f t="shared" si="5"/>
        <v>1.2122648999999999</v>
      </c>
      <c r="AL78" s="171">
        <f t="shared" si="6"/>
        <v>9.5118183301679977</v>
      </c>
    </row>
    <row r="79" spans="1:40" s="158" customFormat="1" ht="18.75">
      <c r="A79" s="175" t="s">
        <v>267</v>
      </c>
      <c r="B79" s="175"/>
      <c r="C79" s="115"/>
      <c r="D79" s="159"/>
      <c r="E79" s="160"/>
      <c r="F79" s="160"/>
      <c r="G79" s="160"/>
      <c r="H79" s="161"/>
      <c r="I79" s="176"/>
      <c r="J79" s="173"/>
      <c r="K79" s="172"/>
      <c r="L79" s="177"/>
      <c r="M79" s="163"/>
      <c r="N79" s="177"/>
      <c r="O79" s="177"/>
      <c r="P79" s="177"/>
      <c r="Q79" s="164" t="s">
        <v>149</v>
      </c>
      <c r="R79" s="165">
        <v>100</v>
      </c>
      <c r="S79" s="165">
        <v>80</v>
      </c>
      <c r="T79" s="165">
        <f t="shared" si="0"/>
        <v>315</v>
      </c>
      <c r="U79" s="166">
        <v>225</v>
      </c>
      <c r="V79" s="165">
        <f t="shared" si="1"/>
        <v>540</v>
      </c>
      <c r="W79" s="165">
        <v>115</v>
      </c>
      <c r="X79" s="165">
        <v>54.5</v>
      </c>
      <c r="Y79" s="165">
        <v>67</v>
      </c>
      <c r="Z79" s="165">
        <v>46.5</v>
      </c>
      <c r="AA79" s="165">
        <v>33.5</v>
      </c>
      <c r="AB79" s="165">
        <v>65</v>
      </c>
      <c r="AC79" s="165">
        <v>30.25</v>
      </c>
      <c r="AD79" s="165">
        <v>100</v>
      </c>
      <c r="AE79" s="167" t="s">
        <v>13</v>
      </c>
      <c r="AF79" s="168">
        <v>15</v>
      </c>
      <c r="AG79" s="168">
        <f t="shared" si="2"/>
        <v>372</v>
      </c>
      <c r="AH79" s="169">
        <f t="shared" si="7"/>
        <v>45.861800569504908</v>
      </c>
      <c r="AI79" s="170">
        <f t="shared" si="3"/>
        <v>2.4740099999999998</v>
      </c>
      <c r="AJ79" s="170">
        <f t="shared" si="4"/>
        <v>0.89064359999999976</v>
      </c>
      <c r="AK79" s="170">
        <f t="shared" si="5"/>
        <v>1.5833664000000001</v>
      </c>
      <c r="AL79" s="171">
        <f>((((3.1416*S79*S79)/4)*T79)*0.0000001)*78.4632</f>
        <v>12.423599451648</v>
      </c>
    </row>
    <row r="80" spans="1:40" s="158" customFormat="1" ht="18.75">
      <c r="A80" s="175" t="s">
        <v>264</v>
      </c>
      <c r="B80" s="175"/>
      <c r="C80" s="115"/>
      <c r="D80" s="159"/>
      <c r="E80" s="160"/>
      <c r="F80" s="160"/>
      <c r="G80" s="160"/>
      <c r="H80" s="161"/>
      <c r="I80" s="176"/>
      <c r="J80" s="173"/>
      <c r="K80" s="172"/>
      <c r="L80" s="177"/>
      <c r="M80" s="163"/>
      <c r="N80" s="177"/>
      <c r="O80" s="177"/>
      <c r="P80" s="177"/>
      <c r="Q80" s="164" t="s">
        <v>150</v>
      </c>
      <c r="R80" s="165">
        <v>110</v>
      </c>
      <c r="S80" s="165">
        <v>40</v>
      </c>
      <c r="T80" s="165">
        <f t="shared" si="0"/>
        <v>315</v>
      </c>
      <c r="U80" s="166">
        <v>260</v>
      </c>
      <c r="V80" s="165">
        <f t="shared" si="1"/>
        <v>575</v>
      </c>
      <c r="W80" s="165">
        <v>125</v>
      </c>
      <c r="X80" s="165">
        <v>60</v>
      </c>
      <c r="Y80" s="165">
        <v>82</v>
      </c>
      <c r="Z80" s="165">
        <v>55</v>
      </c>
      <c r="AA80" s="165">
        <v>40</v>
      </c>
      <c r="AB80" s="165">
        <v>80</v>
      </c>
      <c r="AC80" s="165">
        <v>40.25</v>
      </c>
      <c r="AD80" s="165">
        <v>80</v>
      </c>
      <c r="AE80" s="167" t="s">
        <v>14</v>
      </c>
      <c r="AF80" s="168">
        <v>20</v>
      </c>
      <c r="AG80" s="168">
        <f t="shared" si="2"/>
        <v>378</v>
      </c>
      <c r="AH80" s="169">
        <f t="shared" si="7"/>
        <v>44.725042760304049</v>
      </c>
      <c r="AI80" s="170">
        <f t="shared" si="3"/>
        <v>2.9935521</v>
      </c>
      <c r="AJ80" s="170">
        <f t="shared" si="4"/>
        <v>2.5977104999999998</v>
      </c>
      <c r="AK80" s="170">
        <f t="shared" si="5"/>
        <v>0.39584160000000024</v>
      </c>
      <c r="AL80" s="171">
        <f>((((3.1416*S80*S80)/4)*T80)*0.0000001)*78.4632</f>
        <v>3.105899862912</v>
      </c>
    </row>
    <row r="81" spans="1:38" s="158" customFormat="1" ht="18.75">
      <c r="A81" s="175" t="s">
        <v>264</v>
      </c>
      <c r="B81" s="175"/>
      <c r="C81" s="115"/>
      <c r="D81" s="159"/>
      <c r="E81" s="160"/>
      <c r="F81" s="160"/>
      <c r="G81" s="160"/>
      <c r="H81" s="161"/>
      <c r="I81" s="176"/>
      <c r="J81" s="173"/>
      <c r="K81" s="172"/>
      <c r="L81" s="177"/>
      <c r="M81" s="163"/>
      <c r="N81" s="177"/>
      <c r="O81" s="177"/>
      <c r="P81" s="177"/>
      <c r="Q81" s="164" t="s">
        <v>151</v>
      </c>
      <c r="R81" s="165">
        <v>110</v>
      </c>
      <c r="S81" s="165">
        <v>45</v>
      </c>
      <c r="T81" s="165">
        <f t="shared" si="0"/>
        <v>315</v>
      </c>
      <c r="U81" s="166">
        <v>260</v>
      </c>
      <c r="V81" s="165">
        <f t="shared" si="1"/>
        <v>575</v>
      </c>
      <c r="W81" s="165">
        <v>125</v>
      </c>
      <c r="X81" s="165">
        <v>60</v>
      </c>
      <c r="Y81" s="165">
        <v>82</v>
      </c>
      <c r="Z81" s="165">
        <v>55</v>
      </c>
      <c r="AA81" s="165">
        <v>40</v>
      </c>
      <c r="AB81" s="165">
        <v>80</v>
      </c>
      <c r="AC81" s="165">
        <v>40.25</v>
      </c>
      <c r="AD81" s="165">
        <v>80</v>
      </c>
      <c r="AE81" s="167" t="s">
        <v>14</v>
      </c>
      <c r="AF81" s="168">
        <v>20</v>
      </c>
      <c r="AG81" s="168">
        <f t="shared" si="2"/>
        <v>378</v>
      </c>
      <c r="AH81" s="169">
        <f t="shared" si="7"/>
        <v>45.589333347156057</v>
      </c>
      <c r="AI81" s="170">
        <f t="shared" si="3"/>
        <v>2.9935521</v>
      </c>
      <c r="AJ81" s="170">
        <f t="shared" si="4"/>
        <v>2.4925650749999999</v>
      </c>
      <c r="AK81" s="170">
        <f t="shared" si="5"/>
        <v>0.50098702500000014</v>
      </c>
      <c r="AL81" s="171">
        <f t="shared" ref="AL81:AL93" si="8">((((3.1416*S81*S81)/4)*T81)*0.0000001)*78.4632</f>
        <v>3.9309045139979997</v>
      </c>
    </row>
    <row r="82" spans="1:38" s="158" customFormat="1" ht="18.75">
      <c r="A82" s="175" t="s">
        <v>264</v>
      </c>
      <c r="B82" s="175"/>
      <c r="C82" s="115"/>
      <c r="D82" s="159"/>
      <c r="E82" s="160"/>
      <c r="F82" s="160"/>
      <c r="G82" s="160"/>
      <c r="H82" s="161"/>
      <c r="I82" s="176"/>
      <c r="J82" s="173"/>
      <c r="K82" s="172"/>
      <c r="L82" s="177"/>
      <c r="M82" s="163"/>
      <c r="N82" s="177"/>
      <c r="O82" s="177"/>
      <c r="P82" s="177"/>
      <c r="Q82" s="164" t="s">
        <v>152</v>
      </c>
      <c r="R82" s="165">
        <v>110</v>
      </c>
      <c r="S82" s="165">
        <v>50</v>
      </c>
      <c r="T82" s="165">
        <f t="shared" si="0"/>
        <v>315</v>
      </c>
      <c r="U82" s="166">
        <v>260</v>
      </c>
      <c r="V82" s="165">
        <f t="shared" si="1"/>
        <v>575</v>
      </c>
      <c r="W82" s="165">
        <v>125</v>
      </c>
      <c r="X82" s="165">
        <v>60</v>
      </c>
      <c r="Y82" s="165">
        <v>82</v>
      </c>
      <c r="Z82" s="165">
        <v>55</v>
      </c>
      <c r="AA82" s="165">
        <v>40</v>
      </c>
      <c r="AB82" s="165">
        <v>80</v>
      </c>
      <c r="AC82" s="165">
        <v>40.25</v>
      </c>
      <c r="AD82" s="165">
        <v>80</v>
      </c>
      <c r="AE82" s="167" t="s">
        <v>14</v>
      </c>
      <c r="AF82" s="168">
        <v>20</v>
      </c>
      <c r="AG82" s="168">
        <f t="shared" si="2"/>
        <v>378</v>
      </c>
      <c r="AH82" s="169">
        <f t="shared" si="7"/>
        <v>46.555305179520055</v>
      </c>
      <c r="AI82" s="170">
        <f t="shared" si="3"/>
        <v>2.9935521</v>
      </c>
      <c r="AJ82" s="170">
        <f t="shared" si="4"/>
        <v>2.3750496000000001</v>
      </c>
      <c r="AK82" s="170">
        <f t="shared" si="5"/>
        <v>0.61850249999999996</v>
      </c>
      <c r="AL82" s="171">
        <f t="shared" si="8"/>
        <v>4.8529685357999988</v>
      </c>
    </row>
    <row r="83" spans="1:38" s="158" customFormat="1" ht="18.75">
      <c r="A83" s="175" t="s">
        <v>264</v>
      </c>
      <c r="B83" s="175"/>
      <c r="C83" s="115"/>
      <c r="D83" s="159"/>
      <c r="E83" s="160"/>
      <c r="F83" s="160"/>
      <c r="G83" s="160"/>
      <c r="H83" s="161"/>
      <c r="I83" s="176"/>
      <c r="J83" s="173"/>
      <c r="K83" s="172"/>
      <c r="L83" s="177"/>
      <c r="M83" s="163"/>
      <c r="N83" s="177"/>
      <c r="O83" s="177"/>
      <c r="P83" s="177"/>
      <c r="Q83" s="164" t="s">
        <v>153</v>
      </c>
      <c r="R83" s="165">
        <v>110</v>
      </c>
      <c r="S83" s="165">
        <v>55</v>
      </c>
      <c r="T83" s="165">
        <f t="shared" si="0"/>
        <v>315</v>
      </c>
      <c r="U83" s="166">
        <v>260</v>
      </c>
      <c r="V83" s="165">
        <f t="shared" si="1"/>
        <v>575</v>
      </c>
      <c r="W83" s="165">
        <v>125</v>
      </c>
      <c r="X83" s="165">
        <v>60</v>
      </c>
      <c r="Y83" s="165">
        <v>82</v>
      </c>
      <c r="Z83" s="165">
        <v>55</v>
      </c>
      <c r="AA83" s="165">
        <v>40</v>
      </c>
      <c r="AB83" s="165">
        <v>80</v>
      </c>
      <c r="AC83" s="165">
        <v>40.25</v>
      </c>
      <c r="AD83" s="165">
        <v>80</v>
      </c>
      <c r="AE83" s="167" t="s">
        <v>14</v>
      </c>
      <c r="AF83" s="168">
        <v>20</v>
      </c>
      <c r="AG83" s="168">
        <f t="shared" si="2"/>
        <v>378</v>
      </c>
      <c r="AH83" s="169">
        <f t="shared" si="7"/>
        <v>47.622958257396057</v>
      </c>
      <c r="AI83" s="170">
        <f t="shared" si="3"/>
        <v>2.9935521</v>
      </c>
      <c r="AJ83" s="170">
        <f t="shared" si="4"/>
        <v>2.2451640749999999</v>
      </c>
      <c r="AK83" s="170">
        <f t="shared" si="5"/>
        <v>0.74838802500000012</v>
      </c>
      <c r="AL83" s="171">
        <f t="shared" si="8"/>
        <v>5.8720919283179995</v>
      </c>
    </row>
    <row r="84" spans="1:38" s="158" customFormat="1" ht="18.75">
      <c r="A84" s="175" t="s">
        <v>264</v>
      </c>
      <c r="B84" s="175"/>
      <c r="C84" s="115"/>
      <c r="D84" s="159"/>
      <c r="E84" s="160"/>
      <c r="F84" s="160"/>
      <c r="G84" s="160"/>
      <c r="H84" s="161"/>
      <c r="I84" s="176"/>
      <c r="J84" s="173"/>
      <c r="K84" s="172"/>
      <c r="L84" s="177"/>
      <c r="M84" s="163"/>
      <c r="N84" s="177"/>
      <c r="O84" s="177"/>
      <c r="P84" s="177"/>
      <c r="Q84" s="164" t="s">
        <v>154</v>
      </c>
      <c r="R84" s="165">
        <v>110</v>
      </c>
      <c r="S84" s="165">
        <v>60</v>
      </c>
      <c r="T84" s="165">
        <f t="shared" si="0"/>
        <v>315</v>
      </c>
      <c r="U84" s="166">
        <v>260</v>
      </c>
      <c r="V84" s="165">
        <f t="shared" si="1"/>
        <v>575</v>
      </c>
      <c r="W84" s="165">
        <v>125</v>
      </c>
      <c r="X84" s="165">
        <v>60</v>
      </c>
      <c r="Y84" s="165">
        <v>82</v>
      </c>
      <c r="Z84" s="165">
        <v>55</v>
      </c>
      <c r="AA84" s="165">
        <v>40</v>
      </c>
      <c r="AB84" s="165">
        <v>80</v>
      </c>
      <c r="AC84" s="165">
        <v>40.25</v>
      </c>
      <c r="AD84" s="165">
        <v>80</v>
      </c>
      <c r="AE84" s="167" t="s">
        <v>14</v>
      </c>
      <c r="AF84" s="168">
        <v>20</v>
      </c>
      <c r="AG84" s="168">
        <f t="shared" si="2"/>
        <v>378</v>
      </c>
      <c r="AH84" s="169">
        <f t="shared" si="7"/>
        <v>48.79229258078405</v>
      </c>
      <c r="AI84" s="170">
        <f t="shared" si="3"/>
        <v>2.9935521</v>
      </c>
      <c r="AJ84" s="170">
        <f t="shared" si="4"/>
        <v>2.1029084999999998</v>
      </c>
      <c r="AK84" s="170">
        <f t="shared" si="5"/>
        <v>0.8906436000000002</v>
      </c>
      <c r="AL84" s="171">
        <f t="shared" si="8"/>
        <v>6.9882746915519993</v>
      </c>
    </row>
    <row r="85" spans="1:38" s="158" customFormat="1" ht="18.75">
      <c r="A85" s="175" t="s">
        <v>264</v>
      </c>
      <c r="B85" s="175"/>
      <c r="C85" s="115"/>
      <c r="D85" s="159"/>
      <c r="E85" s="160"/>
      <c r="F85" s="160"/>
      <c r="G85" s="160"/>
      <c r="H85" s="161"/>
      <c r="I85" s="176"/>
      <c r="J85" s="173"/>
      <c r="K85" s="172"/>
      <c r="L85" s="172"/>
      <c r="M85" s="163"/>
      <c r="N85" s="172"/>
      <c r="O85" s="172"/>
      <c r="P85" s="172"/>
      <c r="Q85" s="164" t="s">
        <v>108</v>
      </c>
      <c r="R85" s="165">
        <v>110</v>
      </c>
      <c r="S85" s="165">
        <v>70</v>
      </c>
      <c r="T85" s="165">
        <f t="shared" si="0"/>
        <v>315</v>
      </c>
      <c r="U85" s="166">
        <v>260</v>
      </c>
      <c r="V85" s="165">
        <f t="shared" si="1"/>
        <v>575</v>
      </c>
      <c r="W85" s="165">
        <v>125</v>
      </c>
      <c r="X85" s="165">
        <v>60</v>
      </c>
      <c r="Y85" s="165">
        <v>82</v>
      </c>
      <c r="Z85" s="165">
        <v>55</v>
      </c>
      <c r="AA85" s="165">
        <v>40</v>
      </c>
      <c r="AB85" s="165">
        <v>80</v>
      </c>
      <c r="AC85" s="165">
        <v>40.25</v>
      </c>
      <c r="AD85" s="165">
        <v>80</v>
      </c>
      <c r="AE85" s="167" t="s">
        <v>14</v>
      </c>
      <c r="AF85" s="168">
        <v>20</v>
      </c>
      <c r="AG85" s="168">
        <f t="shared" si="2"/>
        <v>378</v>
      </c>
      <c r="AH85" s="169">
        <f t="shared" si="7"/>
        <v>51.436004964096057</v>
      </c>
      <c r="AI85" s="170">
        <f t="shared" si="3"/>
        <v>2.9935521</v>
      </c>
      <c r="AJ85" s="170">
        <f t="shared" si="4"/>
        <v>1.7812872000000002</v>
      </c>
      <c r="AK85" s="170">
        <f t="shared" si="5"/>
        <v>1.2122648999999999</v>
      </c>
      <c r="AL85" s="171">
        <f t="shared" si="8"/>
        <v>9.5118183301679977</v>
      </c>
    </row>
    <row r="86" spans="1:38" s="158" customFormat="1" ht="18.75">
      <c r="A86" s="175" t="s">
        <v>264</v>
      </c>
      <c r="B86" s="175"/>
      <c r="C86" s="115"/>
      <c r="D86" s="159"/>
      <c r="E86" s="160"/>
      <c r="F86" s="160"/>
      <c r="G86" s="160"/>
      <c r="H86" s="161"/>
      <c r="I86" s="176"/>
      <c r="J86" s="173"/>
      <c r="K86" s="172"/>
      <c r="L86" s="172"/>
      <c r="M86" s="163"/>
      <c r="N86" s="172"/>
      <c r="O86" s="172"/>
      <c r="P86" s="172"/>
      <c r="Q86" s="164" t="s">
        <v>107</v>
      </c>
      <c r="R86" s="165">
        <v>110</v>
      </c>
      <c r="S86" s="165">
        <v>80</v>
      </c>
      <c r="T86" s="165">
        <f t="shared" si="0"/>
        <v>315</v>
      </c>
      <c r="U86" s="166">
        <v>260</v>
      </c>
      <c r="V86" s="165">
        <f t="shared" si="1"/>
        <v>575</v>
      </c>
      <c r="W86" s="165">
        <v>125</v>
      </c>
      <c r="X86" s="165">
        <v>60</v>
      </c>
      <c r="Y86" s="165">
        <v>82</v>
      </c>
      <c r="Z86" s="165">
        <v>55</v>
      </c>
      <c r="AA86" s="165">
        <v>40</v>
      </c>
      <c r="AB86" s="165">
        <v>80</v>
      </c>
      <c r="AC86" s="165">
        <v>40.25</v>
      </c>
      <c r="AD86" s="165">
        <v>100</v>
      </c>
      <c r="AE86" s="167" t="s">
        <v>14</v>
      </c>
      <c r="AF86" s="168">
        <v>20</v>
      </c>
      <c r="AG86" s="168">
        <f t="shared" si="2"/>
        <v>378</v>
      </c>
      <c r="AH86" s="169">
        <f t="shared" si="7"/>
        <v>55.075569600328194</v>
      </c>
      <c r="AI86" s="170">
        <f t="shared" si="3"/>
        <v>2.9935521</v>
      </c>
      <c r="AJ86" s="170">
        <f t="shared" si="4"/>
        <v>1.4101857</v>
      </c>
      <c r="AK86" s="170">
        <f t="shared" si="5"/>
        <v>1.5833664000000001</v>
      </c>
      <c r="AL86" s="171">
        <f t="shared" si="8"/>
        <v>12.423599451648</v>
      </c>
    </row>
    <row r="87" spans="1:38" s="158" customFormat="1" ht="18.75">
      <c r="A87" s="175" t="s">
        <v>264</v>
      </c>
      <c r="B87" s="175"/>
      <c r="C87" s="115"/>
      <c r="D87" s="159"/>
      <c r="E87" s="160"/>
      <c r="F87" s="160"/>
      <c r="G87" s="160"/>
      <c r="H87" s="161"/>
      <c r="I87" s="176"/>
      <c r="J87" s="173"/>
      <c r="K87" s="172"/>
      <c r="L87" s="172"/>
      <c r="M87" s="163"/>
      <c r="N87" s="172"/>
      <c r="O87" s="172"/>
      <c r="P87" s="172"/>
      <c r="Q87" s="164" t="s">
        <v>106</v>
      </c>
      <c r="R87" s="165"/>
      <c r="S87" s="165"/>
      <c r="T87" s="165"/>
      <c r="U87" s="166"/>
      <c r="V87" s="165"/>
      <c r="W87" s="165"/>
      <c r="X87" s="165"/>
      <c r="Y87" s="165"/>
      <c r="Z87" s="165"/>
      <c r="AA87" s="165"/>
      <c r="AB87" s="165"/>
      <c r="AC87" s="165"/>
      <c r="AD87" s="165"/>
      <c r="AE87" s="167"/>
      <c r="AF87" s="168"/>
      <c r="AG87" s="168"/>
      <c r="AH87" s="169">
        <f t="shared" si="7"/>
        <v>0</v>
      </c>
      <c r="AI87" s="170"/>
      <c r="AJ87" s="170"/>
      <c r="AK87" s="170"/>
      <c r="AL87" s="171"/>
    </row>
    <row r="88" spans="1:38" s="158" customFormat="1" ht="18.75">
      <c r="A88" s="175"/>
      <c r="B88" s="175"/>
      <c r="C88" s="115"/>
      <c r="D88" s="159"/>
      <c r="E88" s="160"/>
      <c r="F88" s="160"/>
      <c r="G88" s="160"/>
      <c r="H88" s="161"/>
      <c r="I88" s="176"/>
      <c r="J88" s="173"/>
      <c r="K88" s="172"/>
      <c r="L88" s="172"/>
      <c r="M88" s="163"/>
      <c r="N88" s="172"/>
      <c r="O88" s="172"/>
      <c r="P88" s="172"/>
      <c r="Q88" s="164" t="s">
        <v>157</v>
      </c>
      <c r="R88" s="165">
        <v>120</v>
      </c>
      <c r="S88" s="165">
        <v>50</v>
      </c>
      <c r="T88" s="165">
        <f t="shared" si="0"/>
        <v>315</v>
      </c>
      <c r="U88" s="166"/>
      <c r="V88" s="165"/>
      <c r="W88" s="165"/>
      <c r="X88" s="165"/>
      <c r="Y88" s="165"/>
      <c r="Z88" s="165"/>
      <c r="AA88" s="165"/>
      <c r="AB88" s="165"/>
      <c r="AC88" s="165"/>
      <c r="AD88" s="165"/>
      <c r="AE88" s="167"/>
      <c r="AF88" s="168"/>
      <c r="AG88" s="168">
        <f t="shared" si="2"/>
        <v>0</v>
      </c>
      <c r="AH88" s="169">
        <f t="shared" si="7"/>
        <v>-23.100130230407999</v>
      </c>
      <c r="AI88" s="170">
        <f t="shared" si="3"/>
        <v>3.5625743999999999</v>
      </c>
      <c r="AJ88" s="170">
        <f t="shared" si="4"/>
        <v>2.9440719</v>
      </c>
      <c r="AK88" s="170">
        <f t="shared" si="5"/>
        <v>0.61850249999999996</v>
      </c>
      <c r="AL88" s="171">
        <f t="shared" si="8"/>
        <v>4.8529685357999988</v>
      </c>
    </row>
    <row r="89" spans="1:38" s="158" customFormat="1" ht="18.75">
      <c r="A89" s="175"/>
      <c r="B89" s="175"/>
      <c r="C89" s="115"/>
      <c r="D89" s="159"/>
      <c r="E89" s="160"/>
      <c r="F89" s="160"/>
      <c r="G89" s="160"/>
      <c r="H89" s="161"/>
      <c r="I89" s="176"/>
      <c r="J89" s="173"/>
      <c r="K89" s="172"/>
      <c r="L89" s="172"/>
      <c r="M89" s="163"/>
      <c r="N89" s="172"/>
      <c r="O89" s="172"/>
      <c r="P89" s="172"/>
      <c r="Q89" s="164" t="s">
        <v>155</v>
      </c>
      <c r="R89" s="165">
        <v>120</v>
      </c>
      <c r="S89" s="165">
        <v>55</v>
      </c>
      <c r="T89" s="165">
        <f t="shared" si="0"/>
        <v>315</v>
      </c>
      <c r="U89" s="166"/>
      <c r="V89" s="165"/>
      <c r="W89" s="165"/>
      <c r="X89" s="165"/>
      <c r="Y89" s="165"/>
      <c r="Z89" s="165"/>
      <c r="AA89" s="165"/>
      <c r="AB89" s="165"/>
      <c r="AC89" s="165"/>
      <c r="AD89" s="165"/>
      <c r="AE89" s="167"/>
      <c r="AF89" s="168"/>
      <c r="AG89" s="168">
        <f t="shared" si="2"/>
        <v>0</v>
      </c>
      <c r="AH89" s="169">
        <f t="shared" si="7"/>
        <v>-22.081006837889998</v>
      </c>
      <c r="AI89" s="170">
        <f t="shared" si="3"/>
        <v>3.5625743999999999</v>
      </c>
      <c r="AJ89" s="170">
        <f t="shared" si="4"/>
        <v>2.8141863749999998</v>
      </c>
      <c r="AK89" s="170">
        <f t="shared" si="5"/>
        <v>0.74838802500000012</v>
      </c>
      <c r="AL89" s="171">
        <f t="shared" si="8"/>
        <v>5.8720919283179995</v>
      </c>
    </row>
    <row r="90" spans="1:38" s="158" customFormat="1" ht="18.75">
      <c r="A90" s="175"/>
      <c r="B90" s="175"/>
      <c r="C90" s="115"/>
      <c r="D90" s="159"/>
      <c r="E90" s="160"/>
      <c r="F90" s="160"/>
      <c r="G90" s="160"/>
      <c r="H90" s="161"/>
      <c r="I90" s="176"/>
      <c r="J90" s="173"/>
      <c r="K90" s="172"/>
      <c r="L90" s="172"/>
      <c r="M90" s="163"/>
      <c r="N90" s="172"/>
      <c r="O90" s="172"/>
      <c r="P90" s="172"/>
      <c r="Q90" s="164" t="s">
        <v>156</v>
      </c>
      <c r="R90" s="165">
        <v>120</v>
      </c>
      <c r="S90" s="165">
        <v>60</v>
      </c>
      <c r="T90" s="165">
        <f t="shared" si="0"/>
        <v>315</v>
      </c>
      <c r="U90" s="166">
        <v>270</v>
      </c>
      <c r="V90" s="165">
        <f t="shared" si="1"/>
        <v>585</v>
      </c>
      <c r="W90" s="165">
        <v>140</v>
      </c>
      <c r="X90" s="165">
        <v>65</v>
      </c>
      <c r="Y90" s="165">
        <v>83</v>
      </c>
      <c r="Z90" s="165">
        <v>55</v>
      </c>
      <c r="AA90" s="165">
        <v>40</v>
      </c>
      <c r="AB90" s="165">
        <v>80</v>
      </c>
      <c r="AC90" s="165">
        <v>40.25</v>
      </c>
      <c r="AD90" s="165">
        <v>80</v>
      </c>
      <c r="AE90" s="167" t="s">
        <v>14</v>
      </c>
      <c r="AF90" s="168">
        <v>20</v>
      </c>
      <c r="AG90" s="168">
        <f t="shared" si="2"/>
        <v>382</v>
      </c>
      <c r="AH90" s="169">
        <f t="shared" si="7"/>
        <v>62.857250725610875</v>
      </c>
      <c r="AI90" s="170">
        <f t="shared" si="3"/>
        <v>3.5625743999999999</v>
      </c>
      <c r="AJ90" s="170">
        <f t="shared" si="4"/>
        <v>2.6719308000000002</v>
      </c>
      <c r="AK90" s="170">
        <f t="shared" si="5"/>
        <v>0.89064359999999976</v>
      </c>
      <c r="AL90" s="171">
        <f t="shared" si="8"/>
        <v>6.9882746915519993</v>
      </c>
    </row>
    <row r="91" spans="1:38" s="158" customFormat="1" ht="18.75">
      <c r="A91" s="175"/>
      <c r="B91" s="175"/>
      <c r="C91" s="115"/>
      <c r="D91" s="159"/>
      <c r="E91" s="160"/>
      <c r="F91" s="160"/>
      <c r="G91" s="160"/>
      <c r="H91" s="161"/>
      <c r="I91" s="176"/>
      <c r="J91" s="173"/>
      <c r="K91" s="172"/>
      <c r="L91" s="172"/>
      <c r="M91" s="163"/>
      <c r="N91" s="172"/>
      <c r="O91" s="172"/>
      <c r="P91" s="172"/>
      <c r="Q91" s="164" t="s">
        <v>105</v>
      </c>
      <c r="R91" s="165">
        <v>120</v>
      </c>
      <c r="S91" s="165">
        <v>70</v>
      </c>
      <c r="T91" s="165">
        <f t="shared" si="0"/>
        <v>315</v>
      </c>
      <c r="U91" s="166">
        <v>270</v>
      </c>
      <c r="V91" s="165">
        <f t="shared" si="1"/>
        <v>585</v>
      </c>
      <c r="W91" s="165">
        <v>140</v>
      </c>
      <c r="X91" s="165">
        <v>65</v>
      </c>
      <c r="Y91" s="165">
        <v>83</v>
      </c>
      <c r="Z91" s="165">
        <v>55</v>
      </c>
      <c r="AA91" s="165">
        <v>40</v>
      </c>
      <c r="AB91" s="165">
        <v>80</v>
      </c>
      <c r="AC91" s="165">
        <v>40.25</v>
      </c>
      <c r="AD91" s="165">
        <v>80</v>
      </c>
      <c r="AE91" s="167" t="s">
        <v>14</v>
      </c>
      <c r="AF91" s="168">
        <v>20</v>
      </c>
      <c r="AG91" s="168">
        <f t="shared" si="2"/>
        <v>382</v>
      </c>
      <c r="AH91" s="169">
        <f t="shared" si="7"/>
        <v>65.500963108922875</v>
      </c>
      <c r="AI91" s="170">
        <f t="shared" si="3"/>
        <v>3.5625743999999999</v>
      </c>
      <c r="AJ91" s="170">
        <f t="shared" si="4"/>
        <v>2.3503094999999998</v>
      </c>
      <c r="AK91" s="170">
        <f t="shared" si="5"/>
        <v>1.2122649000000001</v>
      </c>
      <c r="AL91" s="171">
        <f t="shared" si="8"/>
        <v>9.5118183301679977</v>
      </c>
    </row>
    <row r="92" spans="1:38" s="158" customFormat="1" ht="18.75">
      <c r="A92" s="175"/>
      <c r="B92" s="175"/>
      <c r="C92" s="115"/>
      <c r="D92" s="159"/>
      <c r="E92" s="160"/>
      <c r="F92" s="160"/>
      <c r="G92" s="160"/>
      <c r="H92" s="161"/>
      <c r="I92" s="176"/>
      <c r="J92" s="173"/>
      <c r="K92" s="172"/>
      <c r="L92" s="172"/>
      <c r="M92" s="163"/>
      <c r="N92" s="172"/>
      <c r="O92" s="172"/>
      <c r="P92" s="172"/>
      <c r="Q92" s="164" t="s">
        <v>104</v>
      </c>
      <c r="R92" s="165">
        <v>120</v>
      </c>
      <c r="S92" s="165">
        <v>80</v>
      </c>
      <c r="T92" s="165">
        <f t="shared" si="0"/>
        <v>315</v>
      </c>
      <c r="U92" s="166">
        <v>270</v>
      </c>
      <c r="V92" s="165">
        <f t="shared" si="1"/>
        <v>585</v>
      </c>
      <c r="W92" s="165">
        <v>140</v>
      </c>
      <c r="X92" s="165">
        <v>65</v>
      </c>
      <c r="Y92" s="165">
        <v>83</v>
      </c>
      <c r="Z92" s="165">
        <v>55</v>
      </c>
      <c r="AA92" s="165">
        <v>40</v>
      </c>
      <c r="AB92" s="165">
        <v>80</v>
      </c>
      <c r="AC92" s="165">
        <v>40.25</v>
      </c>
      <c r="AD92" s="165">
        <v>80</v>
      </c>
      <c r="AE92" s="167" t="s">
        <v>14</v>
      </c>
      <c r="AF92" s="168">
        <v>20</v>
      </c>
      <c r="AG92" s="168">
        <f t="shared" si="2"/>
        <v>382</v>
      </c>
      <c r="AH92" s="169">
        <f t="shared" si="7"/>
        <v>68.551400474282872</v>
      </c>
      <c r="AI92" s="170">
        <f t="shared" si="3"/>
        <v>3.5625743999999999</v>
      </c>
      <c r="AJ92" s="170">
        <f t="shared" si="4"/>
        <v>1.9792079999999999</v>
      </c>
      <c r="AK92" s="170">
        <f t="shared" si="5"/>
        <v>1.5833664000000001</v>
      </c>
      <c r="AL92" s="171">
        <f t="shared" si="8"/>
        <v>12.423599451648</v>
      </c>
    </row>
    <row r="93" spans="1:38" s="158" customFormat="1" ht="18.75">
      <c r="A93" s="175"/>
      <c r="B93" s="175"/>
      <c r="C93" s="115"/>
      <c r="D93" s="159"/>
      <c r="E93" s="160"/>
      <c r="F93" s="160"/>
      <c r="G93" s="160"/>
      <c r="H93" s="161"/>
      <c r="I93" s="176"/>
      <c r="J93" s="173"/>
      <c r="K93" s="172"/>
      <c r="L93" s="172"/>
      <c r="M93" s="163"/>
      <c r="N93" s="172"/>
      <c r="O93" s="172"/>
      <c r="P93" s="172"/>
      <c r="Q93" s="164" t="s">
        <v>103</v>
      </c>
      <c r="R93" s="165">
        <v>120</v>
      </c>
      <c r="S93" s="165">
        <v>90</v>
      </c>
      <c r="T93" s="165">
        <f t="shared" si="0"/>
        <v>315</v>
      </c>
      <c r="U93" s="166">
        <v>270</v>
      </c>
      <c r="V93" s="165">
        <f t="shared" si="1"/>
        <v>585</v>
      </c>
      <c r="W93" s="165">
        <v>140</v>
      </c>
      <c r="X93" s="165">
        <v>65</v>
      </c>
      <c r="Y93" s="165">
        <v>83</v>
      </c>
      <c r="Z93" s="165">
        <v>55</v>
      </c>
      <c r="AA93" s="165">
        <v>40</v>
      </c>
      <c r="AB93" s="165">
        <v>80</v>
      </c>
      <c r="AC93" s="165">
        <v>40.25</v>
      </c>
      <c r="AD93" s="165">
        <v>100</v>
      </c>
      <c r="AE93" s="167" t="s">
        <v>14</v>
      </c>
      <c r="AF93" s="168">
        <v>20</v>
      </c>
      <c r="AG93" s="168">
        <f t="shared" si="2"/>
        <v>382</v>
      </c>
      <c r="AH93" s="169">
        <f t="shared" si="7"/>
        <v>72.597690092563013</v>
      </c>
      <c r="AI93" s="170">
        <f t="shared" si="3"/>
        <v>3.5625743999999999</v>
      </c>
      <c r="AJ93" s="170">
        <f t="shared" si="4"/>
        <v>1.5586263000000002</v>
      </c>
      <c r="AK93" s="170">
        <f t="shared" si="5"/>
        <v>2.0039480999999997</v>
      </c>
      <c r="AL93" s="171">
        <f t="shared" si="8"/>
        <v>15.723618055991999</v>
      </c>
    </row>
    <row r="94" spans="1:38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25">
        <v>1</v>
      </c>
      <c r="R94" s="125">
        <v>2</v>
      </c>
      <c r="S94" s="125">
        <v>3</v>
      </c>
      <c r="T94" s="125">
        <v>4</v>
      </c>
      <c r="U94" s="125">
        <v>5</v>
      </c>
      <c r="V94" s="125">
        <v>6</v>
      </c>
      <c r="W94" s="125">
        <v>7</v>
      </c>
      <c r="X94" s="143">
        <v>8</v>
      </c>
      <c r="Y94" s="125">
        <v>9</v>
      </c>
      <c r="Z94" s="143">
        <v>10</v>
      </c>
      <c r="AA94" s="143">
        <v>11</v>
      </c>
      <c r="AB94" s="143">
        <v>12</v>
      </c>
      <c r="AC94" s="143">
        <v>13</v>
      </c>
      <c r="AD94" s="143">
        <v>14</v>
      </c>
      <c r="AE94" s="125">
        <v>15</v>
      </c>
      <c r="AF94" s="125">
        <v>16</v>
      </c>
      <c r="AG94" s="125">
        <v>17</v>
      </c>
      <c r="AH94" s="125">
        <v>18</v>
      </c>
      <c r="AI94" s="125">
        <v>19</v>
      </c>
      <c r="AJ94" s="125">
        <v>20</v>
      </c>
      <c r="AK94" s="125">
        <v>21</v>
      </c>
      <c r="AL94" s="125">
        <v>22</v>
      </c>
    </row>
    <row r="95" spans="1:38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</row>
    <row r="96" spans="1:38" ht="18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78" t="s">
        <v>167</v>
      </c>
      <c r="R96" s="179">
        <f>((VLOOKUP(A23,Q35:AK93,2,FALSE)*(VLOOKUP(A23,Q35:AK93,2,FALSE))*3.1416)/4)/100</f>
        <v>19.635000000000002</v>
      </c>
      <c r="S96" s="178" t="s">
        <v>89</v>
      </c>
      <c r="T96" s="178" t="s">
        <v>170</v>
      </c>
      <c r="U96" s="179">
        <f>((VLOOKUP(A23,Q35:AK93,3,FALSE)*(VLOOKUP(A23,Q35:AK93,3,FALSE))*3.1416)/4)/100</f>
        <v>9.6211500000000001</v>
      </c>
      <c r="V96" s="178" t="s">
        <v>89</v>
      </c>
      <c r="W96" s="178"/>
      <c r="X96" s="111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</row>
    <row r="97" spans="1:38" ht="18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80" t="s">
        <v>90</v>
      </c>
      <c r="R97" s="181">
        <f>(R96*(C23/10))/1000</f>
        <v>0.61850250000000007</v>
      </c>
      <c r="S97" s="180" t="s">
        <v>91</v>
      </c>
      <c r="T97" s="182" t="s">
        <v>175</v>
      </c>
      <c r="U97" s="183">
        <f>R97-(U96*(C23/10))/1000</f>
        <v>0.31543627500000004</v>
      </c>
      <c r="V97" s="182" t="s">
        <v>91</v>
      </c>
      <c r="W97" s="111"/>
      <c r="X97" s="184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</row>
    <row r="98" spans="1:38" ht="18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6" t="s">
        <v>257</v>
      </c>
      <c r="R98" s="185">
        <f>R96*E23</f>
        <v>2454.375</v>
      </c>
      <c r="S98" s="106"/>
      <c r="T98" s="106" t="s">
        <v>258</v>
      </c>
      <c r="V98" s="178"/>
      <c r="W98" s="186">
        <f>(R96-U96)*E23</f>
        <v>1251.7312500000003</v>
      </c>
      <c r="X98" s="187">
        <f>G24+C24</f>
        <v>9.3393877500000002</v>
      </c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</row>
    <row r="99" spans="1:38" ht="18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78" t="s">
        <v>101</v>
      </c>
      <c r="R99" s="179">
        <f>(C23/1000)/C24</f>
        <v>5.0929462694168572E-2</v>
      </c>
      <c r="S99" s="178" t="s">
        <v>96</v>
      </c>
      <c r="T99" s="178" t="s">
        <v>101</v>
      </c>
      <c r="U99" s="179">
        <f>(C23/1000)/G24</f>
        <v>9.9861691557193266E-2</v>
      </c>
      <c r="V99" s="178" t="s">
        <v>96</v>
      </c>
      <c r="W99" s="106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</row>
    <row r="100" spans="1:38"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</row>
    <row r="102" spans="1:38">
      <c r="E102" s="188"/>
    </row>
  </sheetData>
  <sheetProtection password="9494" sheet="1" objects="1" scenarios="1" selectLockedCells="1"/>
  <mergeCells count="10">
    <mergeCell ref="A21:B22"/>
    <mergeCell ref="C21:D22"/>
    <mergeCell ref="E21:F22"/>
    <mergeCell ref="G21:H22"/>
    <mergeCell ref="M33:O33"/>
    <mergeCell ref="A24:B24"/>
    <mergeCell ref="A23:B23"/>
    <mergeCell ref="E25:F25"/>
    <mergeCell ref="A25:B25"/>
    <mergeCell ref="E24:F24"/>
  </mergeCells>
  <phoneticPr fontId="1" type="noConversion"/>
  <dataValidations count="6">
    <dataValidation type="decimal" operator="greaterThan" allowBlank="1" showInputMessage="1" showErrorMessage="1" error="Attention la vitesse maximum de sortie de tiges est atteinte" sqref="U99 R99">
      <formula1>0.5</formula1>
    </dataValidation>
    <dataValidation type="decimal" errorStyle="warning" operator="greaterThan" allowBlank="1" showErrorMessage="1" error="Attention la vitesse maximum de sortie de tiges est atteinte" sqref="C25">
      <formula1>0.5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3">
      <formula1>201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3">
      <formula1>1001</formula1>
    </dataValidation>
    <dataValidation type="decimal" errorStyle="warning" operator="greaterThan" allowBlank="1" showInputMessage="1" showErrorMessage="1" error="Attention la vitesse maximum de sortie de tiges est atteinte" sqref="G25">
      <formula1>0.5</formula1>
    </dataValidation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3">
      <formula1>$Q$35:$Q$93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horizontalDpi="300" verticalDpi="300" r:id="rId1"/>
  <headerFooter alignWithMargins="0"/>
  <ignoredErrors>
    <ignoredError sqref="AH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8"/>
  <sheetViews>
    <sheetView showGridLines="0" zoomScale="80" zoomScaleNormal="80" workbookViewId="0">
      <selection activeCell="A24" sqref="A24:B24"/>
    </sheetView>
  </sheetViews>
  <sheetFormatPr baseColWidth="10" defaultRowHeight="13.5"/>
  <cols>
    <col min="1" max="1" width="11.42578125" style="247" customWidth="1"/>
    <col min="2" max="3" width="11.42578125" style="248" customWidth="1"/>
    <col min="4" max="6" width="11.42578125" style="247" customWidth="1"/>
    <col min="7" max="7" width="9.7109375" style="247" customWidth="1"/>
    <col min="8" max="8" width="12.42578125" style="247" customWidth="1"/>
    <col min="9" max="9" width="12.7109375" style="247" customWidth="1"/>
    <col min="10" max="10" width="11.42578125" style="249" customWidth="1"/>
    <col min="11" max="11" width="11.42578125" style="193" customWidth="1"/>
    <col min="12" max="12" width="14.85546875" style="193" customWidth="1"/>
    <col min="13" max="13" width="11.42578125" style="193" customWidth="1"/>
    <col min="14" max="14" width="13.5703125" style="193" hidden="1" customWidth="1"/>
    <col min="15" max="15" width="11.42578125" style="193" hidden="1" customWidth="1"/>
    <col min="16" max="16" width="16.5703125" style="193" hidden="1" customWidth="1"/>
    <col min="17" max="17" width="20.140625" style="193" hidden="1" customWidth="1"/>
    <col min="18" max="18" width="8.42578125" style="194" hidden="1" customWidth="1"/>
    <col min="19" max="19" width="7.5703125" style="194" hidden="1" customWidth="1"/>
    <col min="20" max="20" width="9" style="193" hidden="1" customWidth="1"/>
    <col min="21" max="21" width="9.5703125" style="112" hidden="1" customWidth="1"/>
    <col min="22" max="22" width="7.5703125" style="112" hidden="1" customWidth="1"/>
    <col min="23" max="23" width="13.85546875" style="112" hidden="1" customWidth="1"/>
    <col min="24" max="24" width="18.42578125" style="112" hidden="1" customWidth="1"/>
    <col min="25" max="25" width="3.7109375" style="112" hidden="1" customWidth="1"/>
    <col min="26" max="26" width="4.42578125" style="112" hidden="1" customWidth="1"/>
    <col min="27" max="27" width="6.28515625" style="112" hidden="1" customWidth="1"/>
    <col min="28" max="28" width="4.42578125" style="112" hidden="1" customWidth="1"/>
    <col min="29" max="29" width="4.28515625" style="112" hidden="1" customWidth="1"/>
    <col min="30" max="30" width="6" style="112" hidden="1" customWidth="1"/>
    <col min="31" max="32" width="13.5703125" style="112" hidden="1" customWidth="1"/>
    <col min="33" max="33" width="7.28515625" style="112" hidden="1" customWidth="1"/>
    <col min="34" max="34" width="16.5703125" style="112" hidden="1" customWidth="1"/>
    <col min="35" max="36" width="6.140625" style="112" hidden="1" customWidth="1"/>
    <col min="37" max="38" width="7.28515625" style="112" hidden="1" customWidth="1"/>
    <col min="39" max="39" width="12" style="112" bestFit="1" customWidth="1"/>
    <col min="40" max="40" width="6.42578125" style="112" bestFit="1" customWidth="1"/>
    <col min="41" max="43" width="11.42578125" style="112" customWidth="1"/>
    <col min="44" max="16384" width="11.42578125" style="112"/>
  </cols>
  <sheetData>
    <row r="1" spans="1:19" s="192" customFormat="1" ht="15.75">
      <c r="A1" s="189"/>
      <c r="B1" s="190"/>
      <c r="C1" s="190"/>
      <c r="D1" s="189"/>
      <c r="E1" s="189"/>
      <c r="F1" s="189"/>
      <c r="G1" s="189"/>
      <c r="H1" s="189"/>
      <c r="I1" s="189"/>
      <c r="J1" s="191"/>
      <c r="K1" s="106"/>
      <c r="L1" s="106"/>
      <c r="M1" s="106"/>
      <c r="N1" s="106"/>
      <c r="O1" s="106"/>
      <c r="P1" s="106"/>
      <c r="R1" s="189"/>
      <c r="S1" s="189"/>
    </row>
    <row r="2" spans="1:19" ht="15.75">
      <c r="A2" s="105"/>
      <c r="B2" s="126"/>
      <c r="C2" s="126"/>
      <c r="D2" s="105"/>
      <c r="E2" s="105"/>
      <c r="F2" s="105"/>
      <c r="G2" s="105"/>
      <c r="H2" s="105"/>
      <c r="I2" s="105"/>
      <c r="J2" s="128"/>
      <c r="K2" s="106"/>
      <c r="L2" s="106"/>
      <c r="M2" s="106"/>
      <c r="N2" s="106"/>
      <c r="O2" s="106"/>
      <c r="P2" s="106"/>
    </row>
    <row r="3" spans="1:19" s="192" customFormat="1" ht="15.75">
      <c r="A3" s="105"/>
      <c r="B3" s="126"/>
      <c r="C3" s="126"/>
      <c r="D3" s="105"/>
      <c r="E3" s="105"/>
      <c r="F3" s="105"/>
      <c r="G3" s="105"/>
      <c r="H3" s="105"/>
      <c r="I3" s="105"/>
      <c r="J3" s="128"/>
      <c r="K3" s="106"/>
      <c r="L3" s="106"/>
      <c r="M3" s="106"/>
      <c r="N3" s="106"/>
      <c r="O3" s="106"/>
      <c r="P3" s="106"/>
      <c r="R3" s="189"/>
      <c r="S3" s="189"/>
    </row>
    <row r="4" spans="1:19" s="192" customFormat="1" ht="15.75">
      <c r="A4" s="105"/>
      <c r="B4" s="126"/>
      <c r="C4" s="126"/>
      <c r="D4" s="105"/>
      <c r="E4" s="105"/>
      <c r="F4" s="105"/>
      <c r="G4" s="105"/>
      <c r="H4" s="105"/>
      <c r="I4" s="105"/>
      <c r="J4" s="128"/>
      <c r="K4" s="106"/>
      <c r="L4" s="106"/>
      <c r="M4" s="106"/>
      <c r="N4" s="106"/>
      <c r="O4" s="106"/>
      <c r="P4" s="108"/>
      <c r="R4" s="189"/>
      <c r="S4" s="189"/>
    </row>
    <row r="5" spans="1:19" s="192" customFormat="1" ht="15.75">
      <c r="A5" s="105"/>
      <c r="B5" s="126"/>
      <c r="C5" s="126"/>
      <c r="D5" s="105"/>
      <c r="E5" s="105"/>
      <c r="F5" s="105"/>
      <c r="G5" s="105"/>
      <c r="H5" s="105"/>
      <c r="I5" s="105"/>
      <c r="J5" s="128"/>
      <c r="K5" s="106"/>
      <c r="L5" s="106"/>
      <c r="M5" s="106"/>
      <c r="N5" s="106"/>
      <c r="O5" s="106"/>
      <c r="P5" s="108"/>
      <c r="R5" s="189"/>
      <c r="S5" s="189"/>
    </row>
    <row r="6" spans="1:19" s="192" customFormat="1" ht="15.75">
      <c r="A6" s="105"/>
      <c r="B6" s="126"/>
      <c r="C6" s="126"/>
      <c r="D6" s="105"/>
      <c r="E6" s="105"/>
      <c r="F6" s="105"/>
      <c r="G6" s="105"/>
      <c r="H6" s="105"/>
      <c r="I6" s="105"/>
      <c r="J6" s="128"/>
      <c r="K6" s="106"/>
      <c r="L6" s="106"/>
      <c r="M6" s="106"/>
      <c r="N6" s="106"/>
      <c r="O6" s="106"/>
      <c r="P6" s="108"/>
      <c r="R6" s="189"/>
      <c r="S6" s="189"/>
    </row>
    <row r="7" spans="1:19" s="192" customFormat="1" ht="15.75">
      <c r="A7" s="105"/>
      <c r="B7" s="126"/>
      <c r="C7" s="126"/>
      <c r="D7" s="105"/>
      <c r="E7" s="105"/>
      <c r="F7" s="105"/>
      <c r="G7" s="105"/>
      <c r="H7" s="105"/>
      <c r="I7" s="105"/>
      <c r="J7" s="128"/>
      <c r="K7" s="106"/>
      <c r="L7" s="106"/>
      <c r="M7" s="106"/>
      <c r="N7" s="106"/>
      <c r="O7" s="106"/>
      <c r="P7" s="108"/>
      <c r="R7" s="189"/>
      <c r="S7" s="189"/>
    </row>
    <row r="8" spans="1:19" s="192" customFormat="1" ht="15.75">
      <c r="A8" s="105"/>
      <c r="B8" s="126"/>
      <c r="C8" s="126"/>
      <c r="D8" s="105"/>
      <c r="E8" s="105"/>
      <c r="F8" s="105"/>
      <c r="G8" s="105"/>
      <c r="H8" s="105"/>
      <c r="I8" s="105"/>
      <c r="J8" s="128"/>
      <c r="K8" s="106"/>
      <c r="L8" s="106"/>
      <c r="M8" s="106"/>
      <c r="N8" s="106"/>
      <c r="O8" s="106"/>
      <c r="P8" s="108"/>
      <c r="R8" s="189"/>
      <c r="S8" s="189"/>
    </row>
    <row r="9" spans="1:19" s="192" customFormat="1" ht="15.75">
      <c r="A9" s="105"/>
      <c r="B9" s="126"/>
      <c r="C9" s="126"/>
      <c r="D9" s="105"/>
      <c r="E9" s="105"/>
      <c r="F9" s="105"/>
      <c r="G9" s="105"/>
      <c r="H9" s="105"/>
      <c r="I9" s="105"/>
      <c r="J9" s="128"/>
      <c r="K9" s="106"/>
      <c r="L9" s="106"/>
      <c r="M9" s="106"/>
      <c r="N9" s="106"/>
      <c r="O9" s="106"/>
      <c r="P9" s="108"/>
      <c r="R9" s="189"/>
      <c r="S9" s="189"/>
    </row>
    <row r="10" spans="1:19" s="192" customFormat="1" ht="15.75">
      <c r="A10" s="105"/>
      <c r="B10" s="126"/>
      <c r="C10" s="126"/>
      <c r="D10" s="105"/>
      <c r="E10" s="105"/>
      <c r="F10" s="105"/>
      <c r="G10" s="105"/>
      <c r="H10" s="105"/>
      <c r="I10" s="105"/>
      <c r="J10" s="128"/>
      <c r="K10" s="106"/>
      <c r="L10" s="106"/>
      <c r="M10" s="106"/>
      <c r="N10" s="106"/>
      <c r="O10" s="106"/>
      <c r="P10" s="108"/>
      <c r="R10" s="189"/>
      <c r="S10" s="189"/>
    </row>
    <row r="11" spans="1:19" s="192" customFormat="1" ht="15.75">
      <c r="A11" s="105"/>
      <c r="B11" s="126"/>
      <c r="C11" s="126"/>
      <c r="D11" s="105"/>
      <c r="E11" s="105"/>
      <c r="F11" s="105"/>
      <c r="G11" s="105"/>
      <c r="H11" s="105"/>
      <c r="I11" s="105"/>
      <c r="J11" s="128"/>
      <c r="K11" s="106"/>
      <c r="L11" s="106"/>
      <c r="M11" s="106"/>
      <c r="N11" s="106"/>
      <c r="O11" s="106"/>
      <c r="P11" s="108"/>
      <c r="R11" s="189"/>
      <c r="S11" s="189"/>
    </row>
    <row r="12" spans="1:19" s="192" customFormat="1" ht="15.75">
      <c r="A12" s="105"/>
      <c r="B12" s="126"/>
      <c r="C12" s="126"/>
      <c r="D12" s="105"/>
      <c r="E12" s="105"/>
      <c r="F12" s="105"/>
      <c r="G12" s="105"/>
      <c r="H12" s="105"/>
      <c r="I12" s="105"/>
      <c r="J12" s="128"/>
      <c r="K12" s="106"/>
      <c r="L12" s="106"/>
      <c r="M12" s="106"/>
      <c r="N12" s="106"/>
      <c r="O12" s="106"/>
      <c r="P12" s="108"/>
      <c r="R12" s="189"/>
      <c r="S12" s="189"/>
    </row>
    <row r="13" spans="1:19" s="192" customFormat="1" ht="15.75">
      <c r="A13" s="105"/>
      <c r="B13" s="126"/>
      <c r="C13" s="126"/>
      <c r="D13" s="105"/>
      <c r="E13" s="105"/>
      <c r="F13" s="105"/>
      <c r="G13" s="105"/>
      <c r="H13" s="105"/>
      <c r="I13" s="105"/>
      <c r="J13" s="128"/>
      <c r="K13" s="106"/>
      <c r="L13" s="106"/>
      <c r="M13" s="106"/>
      <c r="N13" s="106"/>
      <c r="O13" s="106"/>
      <c r="P13" s="122"/>
      <c r="R13" s="189"/>
      <c r="S13" s="189"/>
    </row>
    <row r="14" spans="1:19" s="192" customFormat="1" ht="15.75">
      <c r="A14" s="105"/>
      <c r="B14" s="126"/>
      <c r="C14" s="126"/>
      <c r="D14" s="105"/>
      <c r="E14" s="105"/>
      <c r="F14" s="105"/>
      <c r="G14" s="105"/>
      <c r="H14" s="105"/>
      <c r="I14" s="105"/>
      <c r="J14" s="128"/>
      <c r="K14" s="106"/>
      <c r="L14" s="106"/>
      <c r="M14" s="106"/>
      <c r="N14" s="106"/>
      <c r="O14" s="195"/>
      <c r="P14" s="122"/>
      <c r="R14" s="189"/>
      <c r="S14" s="189"/>
    </row>
    <row r="15" spans="1:19" s="192" customFormat="1" ht="15.75">
      <c r="A15" s="105"/>
      <c r="B15" s="126"/>
      <c r="C15" s="126"/>
      <c r="D15" s="105"/>
      <c r="E15" s="105"/>
      <c r="F15" s="105"/>
      <c r="G15" s="105"/>
      <c r="H15" s="105"/>
      <c r="I15" s="105"/>
      <c r="J15" s="128"/>
      <c r="K15" s="106"/>
      <c r="L15" s="106"/>
      <c r="M15" s="106"/>
      <c r="N15" s="106"/>
      <c r="O15" s="106"/>
      <c r="P15" s="122"/>
      <c r="R15" s="189"/>
      <c r="S15" s="189"/>
    </row>
    <row r="16" spans="1:19" s="192" customFormat="1" ht="15.75">
      <c r="A16" s="105"/>
      <c r="B16" s="126"/>
      <c r="C16" s="126"/>
      <c r="D16" s="105"/>
      <c r="E16" s="105"/>
      <c r="F16" s="105"/>
      <c r="G16" s="105"/>
      <c r="H16" s="105"/>
      <c r="I16" s="105"/>
      <c r="J16" s="128"/>
      <c r="K16" s="106"/>
      <c r="L16" s="106"/>
      <c r="M16" s="106"/>
      <c r="N16" s="106"/>
      <c r="O16" s="106"/>
      <c r="P16" s="122"/>
      <c r="R16" s="189"/>
      <c r="S16" s="189"/>
    </row>
    <row r="17" spans="1:37" s="192" customFormat="1" ht="15.75">
      <c r="A17" s="105"/>
      <c r="B17" s="126"/>
      <c r="C17" s="126"/>
      <c r="D17" s="105"/>
      <c r="E17" s="105"/>
      <c r="F17" s="105"/>
      <c r="G17" s="105"/>
      <c r="H17" s="105"/>
      <c r="I17" s="105"/>
      <c r="J17" s="128"/>
      <c r="K17" s="106"/>
      <c r="L17" s="106"/>
      <c r="M17" s="106"/>
      <c r="N17" s="106"/>
      <c r="O17" s="106"/>
      <c r="P17" s="122"/>
      <c r="R17" s="189"/>
      <c r="S17" s="189"/>
    </row>
    <row r="18" spans="1:37" s="192" customFormat="1" ht="15.75">
      <c r="A18" s="105"/>
      <c r="B18" s="126"/>
      <c r="C18" s="126"/>
      <c r="D18" s="105"/>
      <c r="E18" s="105"/>
      <c r="F18" s="105"/>
      <c r="G18" s="105"/>
      <c r="H18" s="105"/>
      <c r="I18" s="105"/>
      <c r="J18" s="128"/>
      <c r="K18" s="106"/>
      <c r="L18" s="106"/>
      <c r="M18" s="106"/>
      <c r="N18" s="106"/>
      <c r="O18" s="106"/>
      <c r="P18" s="122"/>
      <c r="R18" s="189"/>
      <c r="S18" s="189"/>
    </row>
    <row r="19" spans="1:37" s="192" customFormat="1" ht="15.75">
      <c r="A19" s="105"/>
      <c r="B19" s="126"/>
      <c r="C19" s="126"/>
      <c r="D19" s="105"/>
      <c r="E19" s="105"/>
      <c r="F19" s="105"/>
      <c r="G19" s="105"/>
      <c r="H19" s="105"/>
      <c r="I19" s="105"/>
      <c r="J19" s="128"/>
      <c r="K19" s="106"/>
      <c r="L19" s="106"/>
      <c r="M19" s="106"/>
      <c r="N19" s="106"/>
      <c r="O19" s="106"/>
      <c r="P19" s="122"/>
      <c r="R19" s="189"/>
      <c r="S19" s="189"/>
    </row>
    <row r="20" spans="1:37" s="192" customFormat="1" ht="15.75">
      <c r="A20" s="105"/>
      <c r="B20" s="126"/>
      <c r="C20" s="126"/>
      <c r="D20" s="105"/>
      <c r="E20" s="105"/>
      <c r="F20" s="105"/>
      <c r="G20" s="105"/>
      <c r="H20" s="105"/>
      <c r="I20" s="105"/>
      <c r="J20" s="128"/>
      <c r="K20" s="106"/>
      <c r="L20" s="106"/>
      <c r="M20" s="106"/>
      <c r="N20" s="106"/>
      <c r="O20" s="106"/>
      <c r="P20" s="122"/>
      <c r="R20" s="189"/>
      <c r="S20" s="189"/>
    </row>
    <row r="21" spans="1:37" s="192" customFormat="1" ht="15.75">
      <c r="A21" s="105"/>
      <c r="B21" s="126"/>
      <c r="C21" s="126"/>
      <c r="D21" s="105"/>
      <c r="E21" s="105"/>
      <c r="F21" s="105"/>
      <c r="G21" s="105"/>
      <c r="H21" s="105"/>
      <c r="I21" s="105"/>
      <c r="J21" s="128"/>
      <c r="K21" s="106"/>
      <c r="L21" s="106"/>
      <c r="M21" s="106"/>
      <c r="N21" s="106"/>
      <c r="O21" s="106"/>
      <c r="P21" s="122"/>
      <c r="R21" s="189"/>
      <c r="S21" s="189"/>
    </row>
    <row r="22" spans="1:37" s="192" customFormat="1" ht="15.75">
      <c r="A22" s="280" t="s">
        <v>18</v>
      </c>
      <c r="B22" s="280"/>
      <c r="C22" s="280" t="s">
        <v>0</v>
      </c>
      <c r="D22" s="280"/>
      <c r="E22" s="280" t="s">
        <v>171</v>
      </c>
      <c r="F22" s="280"/>
      <c r="G22" s="280" t="s">
        <v>172</v>
      </c>
      <c r="H22" s="280"/>
      <c r="I22" s="105"/>
      <c r="J22" s="128"/>
      <c r="K22" s="106"/>
      <c r="L22" s="106"/>
      <c r="M22" s="106"/>
      <c r="N22" s="106"/>
      <c r="O22" s="106"/>
      <c r="P22" s="122"/>
      <c r="R22" s="189"/>
      <c r="S22" s="189"/>
    </row>
    <row r="23" spans="1:37" s="192" customFormat="1" ht="21" customHeight="1">
      <c r="A23" s="302"/>
      <c r="B23" s="302"/>
      <c r="C23" s="302"/>
      <c r="D23" s="302"/>
      <c r="E23" s="302"/>
      <c r="F23" s="302"/>
      <c r="G23" s="302"/>
      <c r="H23" s="302"/>
      <c r="I23" s="132" t="str">
        <f>IF(C26&gt;0.5,"La vitesse linéaire de sortie du vérin STD est dépassée."," "  )</f>
        <v xml:space="preserve"> </v>
      </c>
      <c r="J23" s="106"/>
      <c r="K23" s="106"/>
      <c r="L23" s="106"/>
      <c r="M23" s="106"/>
      <c r="N23" s="106"/>
      <c r="O23" s="106"/>
      <c r="P23" s="122"/>
      <c r="R23" s="189"/>
      <c r="S23" s="189"/>
    </row>
    <row r="24" spans="1:37" s="192" customFormat="1" ht="17.25">
      <c r="A24" s="300" t="s">
        <v>149</v>
      </c>
      <c r="B24" s="301"/>
      <c r="C24" s="264">
        <v>275</v>
      </c>
      <c r="D24" s="117" t="s">
        <v>26</v>
      </c>
      <c r="E24" s="264">
        <v>130</v>
      </c>
      <c r="F24" s="117" t="s">
        <v>174</v>
      </c>
      <c r="G24" s="264">
        <v>4</v>
      </c>
      <c r="H24" s="117" t="s">
        <v>173</v>
      </c>
      <c r="I24" s="132" t="str">
        <f>IF(G26&gt;0.5,"La vitesse linéaire de rentrée du vérin STD est dépassée."," "  )</f>
        <v xml:space="preserve"> </v>
      </c>
      <c r="J24" s="106"/>
      <c r="K24" s="106"/>
      <c r="L24" s="106"/>
      <c r="M24" s="106"/>
      <c r="N24" s="106"/>
      <c r="O24" s="106"/>
      <c r="P24" s="108"/>
      <c r="R24" s="189"/>
      <c r="S24" s="189"/>
    </row>
    <row r="25" spans="1:37" s="192" customFormat="1" ht="17.25">
      <c r="A25" s="298" t="s">
        <v>92</v>
      </c>
      <c r="B25" s="299"/>
      <c r="C25" s="118">
        <f>(R126*60)/G24</f>
        <v>32.397750000000002</v>
      </c>
      <c r="D25" s="119" t="s">
        <v>93</v>
      </c>
      <c r="E25" s="298" t="s">
        <v>168</v>
      </c>
      <c r="F25" s="299"/>
      <c r="G25" s="260">
        <f>(X126*60)/G24</f>
        <v>11.66319</v>
      </c>
      <c r="H25" s="117" t="s">
        <v>93</v>
      </c>
      <c r="I25" s="132" t="str">
        <f>IF(C24&gt;999,"Attention, vérifier la préconisation d'un guidage renforcé.","  ")</f>
        <v xml:space="preserve">  </v>
      </c>
      <c r="J25" s="133"/>
      <c r="K25" s="133"/>
      <c r="L25" s="133"/>
      <c r="M25" s="133"/>
      <c r="N25" s="133"/>
      <c r="O25" s="133"/>
      <c r="P25" s="108"/>
      <c r="R25" s="189"/>
      <c r="S25" s="189"/>
    </row>
    <row r="26" spans="1:37" s="192" customFormat="1" ht="17.25">
      <c r="A26" s="298" t="s">
        <v>176</v>
      </c>
      <c r="B26" s="299"/>
      <c r="C26" s="260">
        <f>(C24/1000)/C25</f>
        <v>8.4882437823614303E-3</v>
      </c>
      <c r="D26" s="117" t="s">
        <v>96</v>
      </c>
      <c r="E26" s="298" t="s">
        <v>177</v>
      </c>
      <c r="F26" s="299"/>
      <c r="G26" s="260">
        <f>(C24/1000)/G25</f>
        <v>2.3578454951003972E-2</v>
      </c>
      <c r="H26" s="117" t="s">
        <v>96</v>
      </c>
      <c r="I26" s="134" t="str">
        <f>IF(E24&gt;200,"Attention, pression maxi 200 bars."," "  )</f>
        <v xml:space="preserve"> </v>
      </c>
      <c r="J26" s="106"/>
      <c r="K26" s="106"/>
      <c r="L26" s="106"/>
      <c r="M26" s="106"/>
      <c r="N26" s="106"/>
      <c r="O26" s="106"/>
      <c r="P26" s="108"/>
      <c r="R26" s="189"/>
      <c r="S26" s="189"/>
    </row>
    <row r="27" spans="1:37" s="192" customFormat="1" ht="15.75">
      <c r="A27" s="135"/>
      <c r="B27" s="135"/>
      <c r="C27" s="108"/>
      <c r="D27" s="108"/>
      <c r="E27" s="108"/>
      <c r="F27" s="109"/>
      <c r="G27" s="136"/>
      <c r="H27" s="137"/>
      <c r="I27" s="134"/>
      <c r="J27" s="106"/>
      <c r="K27" s="106"/>
      <c r="L27" s="106"/>
      <c r="M27" s="106"/>
      <c r="N27" s="106"/>
      <c r="O27" s="106"/>
      <c r="P27" s="108"/>
      <c r="R27" s="189"/>
      <c r="S27" s="189"/>
    </row>
    <row r="28" spans="1:37" s="192" customFormat="1" ht="15.75" hidden="1">
      <c r="A28" s="108"/>
      <c r="B28" s="108"/>
      <c r="C28" s="108"/>
      <c r="D28" s="108"/>
      <c r="E28" s="108"/>
      <c r="F28" s="108"/>
      <c r="G28" s="108" t="e">
        <f>IF(#REF!&gt;50%,"Attention, remise trop importante","  ")</f>
        <v>#REF!</v>
      </c>
      <c r="H28" s="108"/>
      <c r="I28" s="122"/>
      <c r="J28" s="110"/>
      <c r="K28" s="110"/>
      <c r="L28" s="110"/>
      <c r="M28" s="110"/>
      <c r="N28" s="110"/>
      <c r="O28" s="110"/>
      <c r="P28" s="108"/>
      <c r="R28" s="189"/>
      <c r="S28" s="189"/>
    </row>
    <row r="29" spans="1:37" s="192" customFormat="1" ht="15.75" hidden="1">
      <c r="A29" s="108"/>
      <c r="B29" s="108"/>
      <c r="C29" s="108"/>
      <c r="D29" s="108"/>
      <c r="E29" s="108"/>
      <c r="F29" s="108"/>
      <c r="G29" s="108"/>
      <c r="H29" s="108"/>
      <c r="I29" s="122"/>
      <c r="J29" s="110"/>
      <c r="K29" s="110"/>
      <c r="L29" s="110"/>
      <c r="M29" s="110"/>
      <c r="N29" s="110"/>
      <c r="O29" s="110"/>
      <c r="P29" s="108"/>
      <c r="R29" s="189"/>
      <c r="S29" s="189"/>
    </row>
    <row r="30" spans="1:37" s="192" customFormat="1" ht="15.75" hidden="1">
      <c r="A30" s="108"/>
      <c r="B30" s="108"/>
      <c r="C30" s="108"/>
      <c r="D30" s="108"/>
      <c r="E30" s="108"/>
      <c r="F30" s="108"/>
      <c r="G30" s="108"/>
      <c r="H30" s="108"/>
      <c r="I30" s="122"/>
      <c r="J30" s="110"/>
      <c r="K30" s="110"/>
      <c r="L30" s="110"/>
      <c r="M30" s="110"/>
      <c r="N30" s="110"/>
      <c r="O30" s="110"/>
      <c r="P30" s="108"/>
      <c r="R30" s="189"/>
      <c r="S30" s="189"/>
    </row>
    <row r="31" spans="1:37" s="192" customFormat="1" ht="15.75" hidden="1">
      <c r="A31" s="108"/>
      <c r="B31" s="108"/>
      <c r="C31" s="108"/>
      <c r="D31" s="108"/>
      <c r="E31" s="108"/>
      <c r="F31" s="108"/>
      <c r="G31" s="108"/>
      <c r="H31" s="108"/>
      <c r="I31" s="122"/>
      <c r="J31" s="110"/>
      <c r="K31" s="110"/>
      <c r="L31" s="110"/>
      <c r="M31" s="110"/>
      <c r="N31" s="110"/>
      <c r="O31" s="110"/>
      <c r="P31" s="108"/>
      <c r="R31" s="189"/>
      <c r="S31" s="189"/>
    </row>
    <row r="32" spans="1:37" s="197" customFormat="1" ht="19.5" thickBot="1">
      <c r="A32" s="178" t="s">
        <v>256</v>
      </c>
      <c r="B32" s="115"/>
      <c r="C32" s="115"/>
      <c r="D32" s="115"/>
      <c r="E32" s="145"/>
      <c r="F32" s="115"/>
      <c r="G32" s="115"/>
      <c r="H32" s="115"/>
      <c r="I32" s="113"/>
      <c r="J32" s="130"/>
      <c r="K32" s="130"/>
      <c r="L32" s="146"/>
      <c r="M32" s="146"/>
      <c r="N32" s="146"/>
      <c r="O32" s="146"/>
      <c r="P32" s="106"/>
      <c r="Q32" s="106"/>
      <c r="R32" s="105"/>
      <c r="S32" s="105"/>
      <c r="T32" s="192"/>
      <c r="U32" s="192">
        <f>VLOOKUP($A$24,$Q$35:$AJ$120,5,FALSE)</f>
        <v>441</v>
      </c>
      <c r="V32" s="192">
        <f>VLOOKUP($A$24,$Q$35:$AJ$120,6,FALSE)</f>
        <v>166</v>
      </c>
      <c r="W32" s="192">
        <f>VLOOKUP($A$24,$Q$35:$AJ$120,7,FALSE)</f>
        <v>455</v>
      </c>
      <c r="X32" s="192">
        <f>VLOOKUP($A$24,$Q$35:$AJ$120,8,FALSE)</f>
        <v>115</v>
      </c>
      <c r="Y32" s="192">
        <f>VLOOKUP($A$24,$Q$35:$AJ$120,9,FALSE)</f>
        <v>42</v>
      </c>
      <c r="Z32" s="192">
        <f>VLOOKUP($A$24,$Q$35:$AJ$120,10,FALSE)</f>
        <v>67</v>
      </c>
      <c r="AA32" s="192">
        <f>VLOOKUP($A$24,$Q$35:$AJ$120,11,FALSE)</f>
        <v>14</v>
      </c>
      <c r="AB32" s="192" t="str">
        <f>VLOOKUP($A$24,$Q$35:$AJ$120,12,FALSE)</f>
        <v>3/8'</v>
      </c>
      <c r="AC32" s="192">
        <f>VLOOKUP($A$24,$Q$35:$AJ$120,13,FALSE)</f>
        <v>15</v>
      </c>
      <c r="AD32" s="192">
        <f>VLOOKUP($A$24,$Q$35:$AJ$120,14,FALSE)</f>
        <v>332</v>
      </c>
      <c r="AE32" s="192">
        <f>VLOOKUP($A$24,$Q$35:$AJ$120,15,FALSE)</f>
        <v>16.311366467549995</v>
      </c>
      <c r="AF32" s="192">
        <f>VLOOKUP($A$24,$Q$35:$AJ$120,16,FALSE)</f>
        <v>14.081003753493599</v>
      </c>
      <c r="AG32" s="196">
        <f>VLOOKUP($A$24,$Q$35:$AJ$120,17,FALSE)</f>
        <v>30.392370221043592</v>
      </c>
      <c r="AH32" s="196">
        <f>VLOOKUP($A$24,$Q$35:$AJ$120,18,FALSE)</f>
        <v>2.15985</v>
      </c>
      <c r="AI32" s="196">
        <f>VLOOKUP($A$24,$Q$35:$AJ$120,19,FALSE)</f>
        <v>0.77754600000000007</v>
      </c>
      <c r="AJ32" s="196">
        <f>VLOOKUP($A$24,$Q$35:$AJ$120,20,FALSE)</f>
        <v>1.382304</v>
      </c>
      <c r="AK32" s="192"/>
    </row>
    <row r="33" spans="1:40" s="197" customFormat="1" ht="19.5" thickBot="1">
      <c r="B33" s="115"/>
      <c r="C33" s="115"/>
      <c r="D33" s="115"/>
      <c r="E33" s="115"/>
      <c r="F33" s="115"/>
      <c r="G33" s="115"/>
      <c r="H33" s="115"/>
      <c r="I33" s="113"/>
      <c r="J33" s="130"/>
      <c r="K33" s="130"/>
      <c r="L33" s="146"/>
      <c r="M33" s="146"/>
      <c r="N33" s="146"/>
      <c r="O33" s="146"/>
      <c r="P33" s="308" t="s">
        <v>1</v>
      </c>
      <c r="Q33" s="123" t="s">
        <v>39</v>
      </c>
      <c r="R33" s="123"/>
      <c r="S33" s="123"/>
      <c r="T33" s="306" t="s">
        <v>0</v>
      </c>
      <c r="U33" s="198" t="s">
        <v>2</v>
      </c>
      <c r="V33" s="199"/>
      <c r="W33" s="199" t="s">
        <v>87</v>
      </c>
      <c r="X33" s="200" t="s">
        <v>3</v>
      </c>
      <c r="Y33" s="201" t="s">
        <v>4</v>
      </c>
      <c r="Z33" s="200" t="s">
        <v>5</v>
      </c>
      <c r="AA33" s="201" t="s">
        <v>6</v>
      </c>
      <c r="AB33" s="202" t="s">
        <v>11</v>
      </c>
      <c r="AC33" s="202" t="s">
        <v>17</v>
      </c>
      <c r="AD33" s="203" t="s">
        <v>19</v>
      </c>
      <c r="AE33" s="203" t="s">
        <v>88</v>
      </c>
      <c r="AF33" s="204"/>
      <c r="AG33" s="204" t="s">
        <v>16</v>
      </c>
      <c r="AH33" s="205" t="s">
        <v>22</v>
      </c>
      <c r="AI33" s="206"/>
      <c r="AJ33" s="207"/>
      <c r="AK33" s="129"/>
    </row>
    <row r="34" spans="1:40" s="197" customFormat="1" ht="19.5" thickBot="1">
      <c r="A34" s="107"/>
      <c r="B34" s="115"/>
      <c r="C34" s="115"/>
      <c r="D34" s="115"/>
      <c r="E34" s="145"/>
      <c r="F34" s="115"/>
      <c r="G34" s="115"/>
      <c r="H34" s="115"/>
      <c r="I34" s="113"/>
      <c r="J34" s="130"/>
      <c r="K34" s="130"/>
      <c r="L34" s="146"/>
      <c r="M34" s="297"/>
      <c r="N34" s="303"/>
      <c r="O34" s="303"/>
      <c r="P34" s="309"/>
      <c r="Q34" s="124" t="s">
        <v>40</v>
      </c>
      <c r="R34" s="124"/>
      <c r="S34" s="124"/>
      <c r="T34" s="307"/>
      <c r="U34" s="208"/>
      <c r="V34" s="201"/>
      <c r="W34" s="204"/>
      <c r="X34" s="201"/>
      <c r="Y34" s="201"/>
      <c r="Z34" s="201" t="s">
        <v>26</v>
      </c>
      <c r="AA34" s="201"/>
      <c r="AB34" s="204"/>
      <c r="AC34" s="204"/>
      <c r="AD34" s="204"/>
      <c r="AE34" s="209"/>
      <c r="AF34" s="204"/>
      <c r="AG34" s="202" t="s">
        <v>23</v>
      </c>
      <c r="AH34" s="210" t="s">
        <v>24</v>
      </c>
      <c r="AI34" s="210" t="s">
        <v>25</v>
      </c>
      <c r="AJ34" s="211" t="s">
        <v>41</v>
      </c>
      <c r="AK34" s="212" t="s">
        <v>30</v>
      </c>
    </row>
    <row r="35" spans="1:40" s="157" customFormat="1" ht="18.75">
      <c r="A35" s="115"/>
      <c r="B35" s="115"/>
      <c r="C35" s="115"/>
      <c r="D35" s="115"/>
      <c r="E35" s="115"/>
      <c r="F35" s="115"/>
      <c r="G35" s="115"/>
      <c r="H35" s="115"/>
      <c r="I35" s="115"/>
      <c r="J35" s="152"/>
      <c r="K35" s="152"/>
      <c r="L35" s="152"/>
      <c r="M35" s="153"/>
      <c r="N35" s="153"/>
      <c r="O35" s="153"/>
      <c r="P35" s="213" t="s">
        <v>187</v>
      </c>
      <c r="Q35" s="214" t="s">
        <v>140</v>
      </c>
      <c r="R35" s="214">
        <v>32</v>
      </c>
      <c r="S35" s="214">
        <v>16</v>
      </c>
      <c r="T35" s="215">
        <f t="shared" ref="T35:T72" si="0">$C$24</f>
        <v>275</v>
      </c>
      <c r="U35" s="215">
        <f>96+T35</f>
        <v>371</v>
      </c>
      <c r="V35" s="215">
        <f>U35-T35</f>
        <v>96</v>
      </c>
      <c r="W35" s="215">
        <f>U35+AA35</f>
        <v>389</v>
      </c>
      <c r="X35" s="215">
        <v>42</v>
      </c>
      <c r="Y35" s="215">
        <v>25</v>
      </c>
      <c r="Z35" s="215">
        <v>40</v>
      </c>
      <c r="AA35" s="215">
        <v>18</v>
      </c>
      <c r="AB35" s="216" t="s">
        <v>12</v>
      </c>
      <c r="AC35" s="217">
        <v>15</v>
      </c>
      <c r="AD35" s="218">
        <f>31+T35</f>
        <v>306</v>
      </c>
      <c r="AE35" s="219">
        <f>((((X35*X35*3.1416)/4)*T35)-(((R35*R35*3.1416)/4)*T35)+(((S35*S35*3.1416)/4)*T35))*0.00000784632</f>
        <v>1.6879086754991999</v>
      </c>
      <c r="AF35" s="219">
        <f>((((X35*X35*3.1416)/4)*V35)+(((S35*S35*3.1416)/4)*AA35))*0.00000784632</f>
        <v>1.0719791526850559</v>
      </c>
      <c r="AG35" s="220">
        <f>AE35+AF35</f>
        <v>2.7598878281842558</v>
      </c>
      <c r="AH35" s="221">
        <f>((3.1416*(R35*R35)/4)*T35)*0.000001</f>
        <v>0.22116863999999997</v>
      </c>
      <c r="AI35" s="221">
        <f t="shared" ref="AI35:AI67" si="1">AH35-(((3.1416*S35*S35)/4)*T35*0.000001)</f>
        <v>0.16587647999999999</v>
      </c>
      <c r="AJ35" s="222">
        <f>AH35-AI35</f>
        <v>5.5292159999999979E-2</v>
      </c>
      <c r="AK35" s="171">
        <f>((((3.1416*S35*S35)/4)*T35)*0.0000001)*78.4632</f>
        <v>0.43383998085119996</v>
      </c>
      <c r="AM35" s="223"/>
      <c r="AN35" s="223"/>
    </row>
    <row r="36" spans="1:40" s="157" customFormat="1" ht="19.5" thickBot="1">
      <c r="B36" s="152"/>
      <c r="C36" s="115"/>
      <c r="D36" s="159"/>
      <c r="E36" s="160"/>
      <c r="F36" s="160"/>
      <c r="G36" s="160"/>
      <c r="H36" s="161"/>
      <c r="I36" s="161"/>
      <c r="J36" s="152"/>
      <c r="K36" s="162"/>
      <c r="L36" s="162"/>
      <c r="M36" s="163"/>
      <c r="N36" s="162"/>
      <c r="O36" s="162"/>
      <c r="P36" s="224" t="s">
        <v>53</v>
      </c>
      <c r="Q36" s="165" t="s">
        <v>139</v>
      </c>
      <c r="R36" s="165">
        <v>32</v>
      </c>
      <c r="S36" s="165">
        <v>20</v>
      </c>
      <c r="T36" s="116">
        <f t="shared" si="0"/>
        <v>275</v>
      </c>
      <c r="U36" s="116">
        <f>101+T36</f>
        <v>376</v>
      </c>
      <c r="V36" s="116">
        <f t="shared" ref="V36:V105" si="2">U36-T36</f>
        <v>101</v>
      </c>
      <c r="W36" s="116">
        <f t="shared" ref="W36:W100" si="3">U36+AA36</f>
        <v>400</v>
      </c>
      <c r="X36" s="116">
        <v>42</v>
      </c>
      <c r="Y36" s="116">
        <v>25</v>
      </c>
      <c r="Z36" s="116">
        <v>40</v>
      </c>
      <c r="AA36" s="116">
        <v>24</v>
      </c>
      <c r="AB36" s="155" t="s">
        <v>12</v>
      </c>
      <c r="AC36" s="225">
        <v>15</v>
      </c>
      <c r="AD36" s="226">
        <f>36+T36</f>
        <v>311</v>
      </c>
      <c r="AE36" s="227">
        <f t="shared" ref="AE36:AE100" si="4">((((X36*X36*3.1416)/4)*T36)-(((R36*R36*3.1416)/4)*T36)+(((S36*S36*3.1416)/4)*T36))*0.00000784632</f>
        <v>1.9319436647279995</v>
      </c>
      <c r="AF36" s="227">
        <f>((((X36*X36*3.1416)/4)*V36)+(((S36*S36*3.1416)/4)*AA36))*0.00000784632</f>
        <v>1.1570955989281919</v>
      </c>
      <c r="AG36" s="228">
        <f>AE36+AF36</f>
        <v>3.0890392636561916</v>
      </c>
      <c r="AH36" s="170">
        <f t="shared" ref="AH36:AH105" si="5">((3.1416*(R36*R36)/4)*T36)*0.000001</f>
        <v>0.22116863999999997</v>
      </c>
      <c r="AI36" s="170">
        <f t="shared" si="1"/>
        <v>0.13477463999999997</v>
      </c>
      <c r="AJ36" s="229">
        <f t="shared" ref="AJ36:AJ105" si="6">AH36-AI36</f>
        <v>8.6393999999999999E-2</v>
      </c>
      <c r="AK36" s="171">
        <f t="shared" ref="AK36:AK105" si="7">((((3.1416*S36*S36)/4)*T36)*0.0000001)*78.4632</f>
        <v>0.67787497007999997</v>
      </c>
      <c r="AM36" s="223"/>
      <c r="AN36" s="223"/>
    </row>
    <row r="37" spans="1:40" s="157" customFormat="1" ht="18.75">
      <c r="A37" s="114" t="s">
        <v>270</v>
      </c>
      <c r="B37" s="152"/>
      <c r="C37" s="115"/>
      <c r="D37" s="159"/>
      <c r="E37" s="160"/>
      <c r="F37" s="160"/>
      <c r="G37" s="160"/>
      <c r="H37" s="161"/>
      <c r="I37" s="161"/>
      <c r="J37" s="152"/>
      <c r="K37" s="172"/>
      <c r="L37" s="172"/>
      <c r="M37" s="163"/>
      <c r="N37" s="172"/>
      <c r="O37" s="172"/>
      <c r="P37" s="224" t="s">
        <v>234</v>
      </c>
      <c r="Q37" s="165" t="s">
        <v>138</v>
      </c>
      <c r="R37" s="165">
        <v>40</v>
      </c>
      <c r="S37" s="165">
        <v>20</v>
      </c>
      <c r="T37" s="116">
        <f t="shared" si="0"/>
        <v>275</v>
      </c>
      <c r="U37" s="116">
        <f>103+T37</f>
        <v>378</v>
      </c>
      <c r="V37" s="116">
        <f t="shared" si="2"/>
        <v>103</v>
      </c>
      <c r="W37" s="116">
        <f t="shared" si="3"/>
        <v>413</v>
      </c>
      <c r="X37" s="116">
        <v>50</v>
      </c>
      <c r="Y37" s="116">
        <v>25</v>
      </c>
      <c r="Z37" s="116">
        <v>40</v>
      </c>
      <c r="AA37" s="116">
        <v>35</v>
      </c>
      <c r="AB37" s="155" t="s">
        <v>13</v>
      </c>
      <c r="AC37" s="217">
        <v>15</v>
      </c>
      <c r="AD37" s="226">
        <f>38+T37</f>
        <v>313</v>
      </c>
      <c r="AE37" s="227">
        <f t="shared" si="4"/>
        <v>2.2030936527600002</v>
      </c>
      <c r="AF37" s="227">
        <f t="shared" ref="AF37:AF100" si="8">((((X37*X37*3.1416)/4)*V37)+(((S37*S37*3.1416)/4)*AA37))*0.00000784632</f>
        <v>1.6731186761519998</v>
      </c>
      <c r="AG37" s="228">
        <f t="shared" ref="AG37:AG101" si="9">AE37+AF37</f>
        <v>3.8762123289120001</v>
      </c>
      <c r="AH37" s="170">
        <f t="shared" si="5"/>
        <v>0.34557599999999994</v>
      </c>
      <c r="AI37" s="170">
        <f t="shared" si="1"/>
        <v>0.25918199999999991</v>
      </c>
      <c r="AJ37" s="229">
        <f t="shared" si="6"/>
        <v>8.6394000000000026E-2</v>
      </c>
      <c r="AK37" s="171">
        <f t="shared" si="7"/>
        <v>0.67787497007999997</v>
      </c>
      <c r="AM37" s="223"/>
      <c r="AN37" s="223"/>
    </row>
    <row r="38" spans="1:40" s="157" customFormat="1" ht="19.5" thickBot="1">
      <c r="A38" s="114" t="s">
        <v>271</v>
      </c>
      <c r="B38" s="152"/>
      <c r="C38" s="115"/>
      <c r="D38" s="159"/>
      <c r="E38" s="160"/>
      <c r="F38" s="160"/>
      <c r="G38" s="160"/>
      <c r="H38" s="161"/>
      <c r="I38" s="161"/>
      <c r="J38" s="152"/>
      <c r="K38" s="172"/>
      <c r="L38" s="172"/>
      <c r="M38" s="163"/>
      <c r="N38" s="172"/>
      <c r="O38" s="172"/>
      <c r="P38" s="224" t="s">
        <v>54</v>
      </c>
      <c r="Q38" s="165" t="s">
        <v>137</v>
      </c>
      <c r="R38" s="165">
        <v>40</v>
      </c>
      <c r="S38" s="165">
        <v>25</v>
      </c>
      <c r="T38" s="116">
        <f t="shared" si="0"/>
        <v>275</v>
      </c>
      <c r="U38" s="116">
        <f>103+T38</f>
        <v>378</v>
      </c>
      <c r="V38" s="116">
        <f t="shared" si="2"/>
        <v>103</v>
      </c>
      <c r="W38" s="116">
        <f t="shared" si="3"/>
        <v>413</v>
      </c>
      <c r="X38" s="116">
        <v>50</v>
      </c>
      <c r="Y38" s="116">
        <v>25</v>
      </c>
      <c r="Z38" s="116">
        <v>40</v>
      </c>
      <c r="AA38" s="116">
        <v>35</v>
      </c>
      <c r="AB38" s="155" t="s">
        <v>13</v>
      </c>
      <c r="AC38" s="225">
        <v>15</v>
      </c>
      <c r="AD38" s="226">
        <f>38+T38</f>
        <v>313</v>
      </c>
      <c r="AE38" s="227">
        <f t="shared" si="4"/>
        <v>2.5843983234300003</v>
      </c>
      <c r="AF38" s="227">
        <f t="shared" si="8"/>
        <v>1.7216483615099998</v>
      </c>
      <c r="AG38" s="228">
        <f t="shared" si="9"/>
        <v>4.3060466849400001</v>
      </c>
      <c r="AH38" s="170">
        <f t="shared" si="5"/>
        <v>0.34557599999999994</v>
      </c>
      <c r="AI38" s="170">
        <f t="shared" si="1"/>
        <v>0.21058537499999996</v>
      </c>
      <c r="AJ38" s="229">
        <f t="shared" si="6"/>
        <v>0.13499062499999998</v>
      </c>
      <c r="AK38" s="171">
        <f t="shared" si="7"/>
        <v>1.0591796407499998</v>
      </c>
      <c r="AM38" s="223"/>
      <c r="AN38" s="223"/>
    </row>
    <row r="39" spans="1:40" s="157" customFormat="1" ht="18.75">
      <c r="B39" s="152"/>
      <c r="C39" s="115"/>
      <c r="D39" s="159"/>
      <c r="E39" s="160"/>
      <c r="F39" s="160"/>
      <c r="G39" s="160"/>
      <c r="H39" s="161"/>
      <c r="I39" s="161"/>
      <c r="J39" s="152"/>
      <c r="K39" s="172"/>
      <c r="L39" s="172"/>
      <c r="M39" s="163"/>
      <c r="N39" s="172"/>
      <c r="O39" s="172"/>
      <c r="P39" s="224" t="s">
        <v>165</v>
      </c>
      <c r="Q39" s="165" t="s">
        <v>102</v>
      </c>
      <c r="R39" s="165">
        <v>50</v>
      </c>
      <c r="S39" s="165">
        <v>25</v>
      </c>
      <c r="T39" s="116">
        <f t="shared" si="0"/>
        <v>275</v>
      </c>
      <c r="U39" s="116">
        <f>113+T39</f>
        <v>388</v>
      </c>
      <c r="V39" s="116">
        <f>U39-T39</f>
        <v>113</v>
      </c>
      <c r="W39" s="116">
        <f t="shared" si="3"/>
        <v>432</v>
      </c>
      <c r="X39" s="116">
        <v>60</v>
      </c>
      <c r="Y39" s="116">
        <v>25</v>
      </c>
      <c r="Z39" s="116">
        <v>50</v>
      </c>
      <c r="AA39" s="116">
        <v>44</v>
      </c>
      <c r="AB39" s="155" t="s">
        <v>13</v>
      </c>
      <c r="AC39" s="217">
        <v>15</v>
      </c>
      <c r="AD39" s="226">
        <f>38+T39</f>
        <v>313</v>
      </c>
      <c r="AE39" s="227">
        <f t="shared" si="4"/>
        <v>2.9233358084699996</v>
      </c>
      <c r="AF39" s="227">
        <f t="shared" si="8"/>
        <v>2.6763736318703999</v>
      </c>
      <c r="AG39" s="228">
        <f t="shared" si="9"/>
        <v>5.5997094403403995</v>
      </c>
      <c r="AH39" s="170">
        <f>((3.1416*(R39*R39)/4)*T39)*0.000001</f>
        <v>0.53996250000000001</v>
      </c>
      <c r="AI39" s="170">
        <f t="shared" si="1"/>
        <v>0.40497187500000004</v>
      </c>
      <c r="AJ39" s="229">
        <f>AH39-AI39</f>
        <v>0.13499062499999998</v>
      </c>
      <c r="AK39" s="171">
        <f t="shared" si="7"/>
        <v>1.0591796407499998</v>
      </c>
      <c r="AM39" s="223"/>
      <c r="AN39" s="223"/>
    </row>
    <row r="40" spans="1:40" s="157" customFormat="1" ht="19.5" thickBot="1">
      <c r="B40" s="152"/>
      <c r="C40" s="163"/>
      <c r="D40" s="159"/>
      <c r="E40" s="160"/>
      <c r="F40" s="160"/>
      <c r="G40" s="160"/>
      <c r="H40" s="161"/>
      <c r="I40" s="161"/>
      <c r="J40" s="152"/>
      <c r="K40" s="172"/>
      <c r="L40" s="172"/>
      <c r="M40" s="163"/>
      <c r="N40" s="172"/>
      <c r="O40" s="172"/>
      <c r="P40" s="224" t="s">
        <v>55</v>
      </c>
      <c r="Q40" s="165" t="s">
        <v>136</v>
      </c>
      <c r="R40" s="165">
        <v>50</v>
      </c>
      <c r="S40" s="165">
        <v>30</v>
      </c>
      <c r="T40" s="116">
        <f t="shared" si="0"/>
        <v>275</v>
      </c>
      <c r="U40" s="116">
        <f t="shared" ref="U40:U46" si="10">121+T40</f>
        <v>396</v>
      </c>
      <c r="V40" s="116">
        <f t="shared" si="2"/>
        <v>121</v>
      </c>
      <c r="W40" s="116">
        <f t="shared" si="3"/>
        <v>432</v>
      </c>
      <c r="X40" s="116">
        <v>60</v>
      </c>
      <c r="Y40" s="116">
        <v>30</v>
      </c>
      <c r="Z40" s="116">
        <v>50</v>
      </c>
      <c r="AA40" s="116">
        <v>36</v>
      </c>
      <c r="AB40" s="155" t="s">
        <v>13</v>
      </c>
      <c r="AC40" s="225">
        <v>15</v>
      </c>
      <c r="AD40" s="226">
        <f t="shared" ref="AD40:AD50" si="11">41+T40</f>
        <v>316</v>
      </c>
      <c r="AE40" s="227">
        <f t="shared" si="4"/>
        <v>3.3893748503999999</v>
      </c>
      <c r="AF40" s="227">
        <f t="shared" si="8"/>
        <v>2.8840498727039998</v>
      </c>
      <c r="AG40" s="228">
        <f t="shared" si="9"/>
        <v>6.2734247231040001</v>
      </c>
      <c r="AH40" s="170">
        <f t="shared" si="5"/>
        <v>0.53996250000000001</v>
      </c>
      <c r="AI40" s="170">
        <f t="shared" si="1"/>
        <v>0.34557599999999999</v>
      </c>
      <c r="AJ40" s="229">
        <f t="shared" si="6"/>
        <v>0.19438650000000002</v>
      </c>
      <c r="AK40" s="171">
        <f t="shared" si="7"/>
        <v>1.5252186826799998</v>
      </c>
      <c r="AM40" s="223"/>
      <c r="AN40" s="223"/>
    </row>
    <row r="41" spans="1:40" s="157" customFormat="1" ht="18.75">
      <c r="B41" s="152"/>
      <c r="C41" s="115"/>
      <c r="D41" s="159"/>
      <c r="E41" s="160"/>
      <c r="F41" s="160"/>
      <c r="G41" s="160"/>
      <c r="H41" s="161"/>
      <c r="I41" s="161"/>
      <c r="J41" s="152"/>
      <c r="K41" s="172"/>
      <c r="L41" s="172"/>
      <c r="M41" s="163"/>
      <c r="N41" s="172"/>
      <c r="O41" s="172"/>
      <c r="P41" s="224" t="s">
        <v>259</v>
      </c>
      <c r="Q41" s="165" t="s">
        <v>135</v>
      </c>
      <c r="R41" s="165">
        <v>50</v>
      </c>
      <c r="S41" s="165">
        <v>35</v>
      </c>
      <c r="T41" s="116">
        <f t="shared" si="0"/>
        <v>275</v>
      </c>
      <c r="U41" s="116">
        <f t="shared" si="10"/>
        <v>396</v>
      </c>
      <c r="V41" s="116">
        <f t="shared" si="2"/>
        <v>121</v>
      </c>
      <c r="W41" s="116">
        <f t="shared" si="3"/>
        <v>432</v>
      </c>
      <c r="X41" s="116">
        <v>60</v>
      </c>
      <c r="Y41" s="116">
        <v>30</v>
      </c>
      <c r="Z41" s="116">
        <v>50</v>
      </c>
      <c r="AA41" s="116">
        <v>36</v>
      </c>
      <c r="AB41" s="155" t="s">
        <v>13</v>
      </c>
      <c r="AC41" s="217">
        <v>15</v>
      </c>
      <c r="AD41" s="226">
        <f t="shared" si="11"/>
        <v>316</v>
      </c>
      <c r="AE41" s="227">
        <f t="shared" si="4"/>
        <v>3.9401482635899998</v>
      </c>
      <c r="AF41" s="227">
        <f t="shared" si="8"/>
        <v>2.9561511195215999</v>
      </c>
      <c r="AG41" s="228">
        <f t="shared" si="9"/>
        <v>6.8962993831116002</v>
      </c>
      <c r="AH41" s="170">
        <f t="shared" si="5"/>
        <v>0.53996250000000001</v>
      </c>
      <c r="AI41" s="170">
        <f t="shared" si="1"/>
        <v>0.27538087500000002</v>
      </c>
      <c r="AJ41" s="229">
        <f t="shared" si="6"/>
        <v>0.26458162499999999</v>
      </c>
      <c r="AK41" s="171">
        <f t="shared" si="7"/>
        <v>2.0759920958700002</v>
      </c>
      <c r="AM41" s="223"/>
      <c r="AN41" s="223"/>
    </row>
    <row r="42" spans="1:40" s="157" customFormat="1" ht="19.5" thickBot="1">
      <c r="B42" s="152"/>
      <c r="C42" s="115"/>
      <c r="D42" s="159"/>
      <c r="E42" s="160"/>
      <c r="F42" s="160"/>
      <c r="G42" s="160"/>
      <c r="H42" s="161"/>
      <c r="I42" s="161"/>
      <c r="J42" s="152"/>
      <c r="K42" s="172"/>
      <c r="L42" s="172"/>
      <c r="M42" s="163"/>
      <c r="N42" s="172"/>
      <c r="O42" s="172"/>
      <c r="P42" s="224" t="s">
        <v>235</v>
      </c>
      <c r="Q42" s="165" t="s">
        <v>178</v>
      </c>
      <c r="R42" s="165">
        <v>50</v>
      </c>
      <c r="S42" s="165">
        <v>40</v>
      </c>
      <c r="T42" s="116">
        <f t="shared" si="0"/>
        <v>275</v>
      </c>
      <c r="U42" s="116">
        <f>141+T42</f>
        <v>416</v>
      </c>
      <c r="V42" s="116">
        <f t="shared" si="2"/>
        <v>141</v>
      </c>
      <c r="W42" s="116">
        <f t="shared" si="3"/>
        <v>432</v>
      </c>
      <c r="X42" s="116">
        <v>60</v>
      </c>
      <c r="Y42" s="116">
        <v>30</v>
      </c>
      <c r="Z42" s="116">
        <v>50</v>
      </c>
      <c r="AA42" s="116">
        <v>16</v>
      </c>
      <c r="AB42" s="155" t="s">
        <v>13</v>
      </c>
      <c r="AC42" s="225">
        <v>15</v>
      </c>
      <c r="AD42" s="226">
        <f t="shared" si="11"/>
        <v>316</v>
      </c>
      <c r="AE42" s="227">
        <f t="shared" si="4"/>
        <v>4.5756560480399999</v>
      </c>
      <c r="AF42" s="227">
        <f t="shared" si="8"/>
        <v>3.2858448549695995</v>
      </c>
      <c r="AG42" s="228">
        <f t="shared" si="9"/>
        <v>7.861500903009599</v>
      </c>
      <c r="AH42" s="170">
        <f t="shared" si="5"/>
        <v>0.53996250000000001</v>
      </c>
      <c r="AI42" s="170">
        <f t="shared" si="1"/>
        <v>0.19438650000000002</v>
      </c>
      <c r="AJ42" s="229">
        <f t="shared" si="6"/>
        <v>0.34557599999999999</v>
      </c>
      <c r="AK42" s="171">
        <f t="shared" si="7"/>
        <v>2.7114998803199999</v>
      </c>
      <c r="AM42" s="223"/>
      <c r="AN42" s="223"/>
    </row>
    <row r="43" spans="1:40" s="157" customFormat="1" ht="18.75">
      <c r="B43" s="152"/>
      <c r="C43" s="115"/>
      <c r="D43" s="159"/>
      <c r="E43" s="160"/>
      <c r="F43" s="160"/>
      <c r="G43" s="160"/>
      <c r="H43" s="161"/>
      <c r="I43" s="161"/>
      <c r="J43" s="152"/>
      <c r="K43" s="172"/>
      <c r="L43" s="172"/>
      <c r="M43" s="163"/>
      <c r="N43" s="172"/>
      <c r="O43" s="172"/>
      <c r="P43" s="224" t="s">
        <v>260</v>
      </c>
      <c r="Q43" s="165" t="s">
        <v>134</v>
      </c>
      <c r="R43" s="165">
        <v>60</v>
      </c>
      <c r="S43" s="165">
        <v>25</v>
      </c>
      <c r="T43" s="116">
        <f t="shared" si="0"/>
        <v>275</v>
      </c>
      <c r="U43" s="116">
        <f>121+T43</f>
        <v>396</v>
      </c>
      <c r="V43" s="116">
        <f>U43-T43</f>
        <v>121</v>
      </c>
      <c r="W43" s="116">
        <f t="shared" si="3"/>
        <v>432</v>
      </c>
      <c r="X43" s="116">
        <v>70</v>
      </c>
      <c r="Y43" s="116">
        <v>25</v>
      </c>
      <c r="Z43" s="116">
        <v>50</v>
      </c>
      <c r="AA43" s="116">
        <v>36</v>
      </c>
      <c r="AB43" s="155" t="s">
        <v>13</v>
      </c>
      <c r="AC43" s="217">
        <v>15</v>
      </c>
      <c r="AD43" s="226">
        <f>38+T43</f>
        <v>313</v>
      </c>
      <c r="AE43" s="227">
        <f t="shared" si="4"/>
        <v>3.2622732935099998</v>
      </c>
      <c r="AF43" s="227">
        <f t="shared" si="8"/>
        <v>3.7924023326112</v>
      </c>
      <c r="AG43" s="228">
        <f t="shared" si="9"/>
        <v>7.0546756261211998</v>
      </c>
      <c r="AH43" s="170">
        <f>((3.1416*(R43*R43)/4)*T43)*0.000001</f>
        <v>0.77754599999999996</v>
      </c>
      <c r="AI43" s="170">
        <f t="shared" si="1"/>
        <v>0.64255537499999993</v>
      </c>
      <c r="AJ43" s="229">
        <f>AH43-AI43</f>
        <v>0.13499062500000003</v>
      </c>
      <c r="AK43" s="171">
        <f>((((3.1416*S43*S43)/4)*T43)*0.0000001)*78.4632</f>
        <v>1.0591796407499998</v>
      </c>
      <c r="AM43" s="223"/>
      <c r="AN43" s="223"/>
    </row>
    <row r="44" spans="1:40" s="157" customFormat="1" ht="19.5" thickBot="1">
      <c r="B44" s="152"/>
      <c r="C44" s="163"/>
      <c r="D44" s="159"/>
      <c r="E44" s="160"/>
      <c r="F44" s="160"/>
      <c r="G44" s="160"/>
      <c r="H44" s="161"/>
      <c r="I44" s="161"/>
      <c r="J44" s="152"/>
      <c r="K44" s="172"/>
      <c r="L44" s="172"/>
      <c r="M44" s="163"/>
      <c r="N44" s="172"/>
      <c r="O44" s="172"/>
      <c r="P44" s="224" t="s">
        <v>56</v>
      </c>
      <c r="Q44" s="165" t="s">
        <v>133</v>
      </c>
      <c r="R44" s="165">
        <v>60</v>
      </c>
      <c r="S44" s="165">
        <v>30</v>
      </c>
      <c r="T44" s="116">
        <f t="shared" si="0"/>
        <v>275</v>
      </c>
      <c r="U44" s="116">
        <f>121+T44</f>
        <v>396</v>
      </c>
      <c r="V44" s="116">
        <f>U44-T44</f>
        <v>121</v>
      </c>
      <c r="W44" s="116">
        <f t="shared" si="3"/>
        <v>432</v>
      </c>
      <c r="X44" s="116">
        <v>70</v>
      </c>
      <c r="Y44" s="116">
        <v>30</v>
      </c>
      <c r="Z44" s="116">
        <v>50</v>
      </c>
      <c r="AA44" s="116">
        <v>36</v>
      </c>
      <c r="AB44" s="155" t="s">
        <v>13</v>
      </c>
      <c r="AC44" s="225">
        <v>15</v>
      </c>
      <c r="AD44" s="226">
        <f>41+T44</f>
        <v>316</v>
      </c>
      <c r="AE44" s="227">
        <f t="shared" si="4"/>
        <v>3.7283123354399996</v>
      </c>
      <c r="AF44" s="227">
        <f t="shared" si="8"/>
        <v>3.8534110799184003</v>
      </c>
      <c r="AG44" s="228">
        <f t="shared" si="9"/>
        <v>7.5817234153584003</v>
      </c>
      <c r="AH44" s="170">
        <f>((3.1416*(R44*R44)/4)*T44)*0.000001</f>
        <v>0.77754599999999996</v>
      </c>
      <c r="AI44" s="170">
        <f t="shared" si="1"/>
        <v>0.58315949999999994</v>
      </c>
      <c r="AJ44" s="229">
        <f>AH44-AI44</f>
        <v>0.19438650000000002</v>
      </c>
      <c r="AK44" s="171">
        <f>((((3.1416*S44*S44)/4)*T44)*0.0000001)*78.4632</f>
        <v>1.5252186826799998</v>
      </c>
      <c r="AM44" s="223"/>
      <c r="AN44" s="223"/>
    </row>
    <row r="45" spans="1:40" s="157" customFormat="1" ht="18.75">
      <c r="B45" s="152"/>
      <c r="C45" s="115"/>
      <c r="D45" s="159"/>
      <c r="E45" s="160"/>
      <c r="F45" s="160"/>
      <c r="G45" s="160"/>
      <c r="H45" s="161"/>
      <c r="I45" s="161"/>
      <c r="J45" s="152"/>
      <c r="K45" s="172"/>
      <c r="L45" s="172"/>
      <c r="M45" s="163"/>
      <c r="N45" s="172"/>
      <c r="O45" s="172"/>
      <c r="P45" s="224" t="s">
        <v>57</v>
      </c>
      <c r="Q45" s="165" t="s">
        <v>132</v>
      </c>
      <c r="R45" s="165">
        <v>60</v>
      </c>
      <c r="S45" s="165">
        <v>35</v>
      </c>
      <c r="T45" s="116">
        <f t="shared" si="0"/>
        <v>275</v>
      </c>
      <c r="U45" s="116">
        <f t="shared" si="10"/>
        <v>396</v>
      </c>
      <c r="V45" s="116">
        <f t="shared" si="2"/>
        <v>121</v>
      </c>
      <c r="W45" s="116">
        <f t="shared" si="3"/>
        <v>432</v>
      </c>
      <c r="X45" s="116">
        <v>70</v>
      </c>
      <c r="Y45" s="116">
        <v>30</v>
      </c>
      <c r="Z45" s="116">
        <v>50</v>
      </c>
      <c r="AA45" s="116">
        <v>36</v>
      </c>
      <c r="AB45" s="155" t="s">
        <v>13</v>
      </c>
      <c r="AC45" s="217">
        <v>15</v>
      </c>
      <c r="AD45" s="226">
        <f t="shared" si="11"/>
        <v>316</v>
      </c>
      <c r="AE45" s="227">
        <f t="shared" si="4"/>
        <v>4.27908574863</v>
      </c>
      <c r="AF45" s="227">
        <f t="shared" si="8"/>
        <v>3.9255123267359999</v>
      </c>
      <c r="AG45" s="228">
        <f t="shared" si="9"/>
        <v>8.2045980753660004</v>
      </c>
      <c r="AH45" s="170">
        <f t="shared" si="5"/>
        <v>0.77754599999999996</v>
      </c>
      <c r="AI45" s="170">
        <f t="shared" si="1"/>
        <v>0.51296437499999992</v>
      </c>
      <c r="AJ45" s="229">
        <f t="shared" si="6"/>
        <v>0.26458162500000004</v>
      </c>
      <c r="AK45" s="171">
        <f t="shared" si="7"/>
        <v>2.0759920958700002</v>
      </c>
      <c r="AM45" s="223"/>
      <c r="AN45" s="223"/>
    </row>
    <row r="46" spans="1:40" s="157" customFormat="1" ht="19.5" thickBot="1">
      <c r="B46" s="152"/>
      <c r="C46" s="115"/>
      <c r="D46" s="159"/>
      <c r="E46" s="160"/>
      <c r="F46" s="160"/>
      <c r="G46" s="160"/>
      <c r="H46" s="161"/>
      <c r="I46" s="161"/>
      <c r="J46" s="152"/>
      <c r="K46" s="172"/>
      <c r="L46" s="172"/>
      <c r="M46" s="163"/>
      <c r="N46" s="172"/>
      <c r="O46" s="172"/>
      <c r="P46" s="224" t="s">
        <v>58</v>
      </c>
      <c r="Q46" s="165" t="s">
        <v>131</v>
      </c>
      <c r="R46" s="165">
        <v>60</v>
      </c>
      <c r="S46" s="165">
        <v>40</v>
      </c>
      <c r="T46" s="116">
        <f t="shared" si="0"/>
        <v>275</v>
      </c>
      <c r="U46" s="116">
        <f t="shared" si="10"/>
        <v>396</v>
      </c>
      <c r="V46" s="116">
        <f t="shared" si="2"/>
        <v>121</v>
      </c>
      <c r="W46" s="116">
        <f t="shared" si="3"/>
        <v>432</v>
      </c>
      <c r="X46" s="116">
        <v>70</v>
      </c>
      <c r="Y46" s="116">
        <v>30</v>
      </c>
      <c r="Z46" s="116">
        <v>50</v>
      </c>
      <c r="AA46" s="116">
        <v>36</v>
      </c>
      <c r="AB46" s="155" t="s">
        <v>13</v>
      </c>
      <c r="AC46" s="225">
        <v>15</v>
      </c>
      <c r="AD46" s="226">
        <f t="shared" si="11"/>
        <v>316</v>
      </c>
      <c r="AE46" s="227">
        <f t="shared" si="4"/>
        <v>4.9145935330799997</v>
      </c>
      <c r="AF46" s="227">
        <f t="shared" si="8"/>
        <v>4.0087060730639994</v>
      </c>
      <c r="AG46" s="228">
        <f t="shared" si="9"/>
        <v>8.9232996061439991</v>
      </c>
      <c r="AH46" s="170">
        <f t="shared" si="5"/>
        <v>0.77754599999999996</v>
      </c>
      <c r="AI46" s="170">
        <f t="shared" si="1"/>
        <v>0.43196999999999997</v>
      </c>
      <c r="AJ46" s="229">
        <f t="shared" si="6"/>
        <v>0.34557599999999999</v>
      </c>
      <c r="AK46" s="171">
        <f t="shared" si="7"/>
        <v>2.7114998803199999</v>
      </c>
      <c r="AM46" s="223"/>
      <c r="AN46" s="223"/>
    </row>
    <row r="47" spans="1:40" s="157" customFormat="1" ht="18.75">
      <c r="B47" s="152"/>
      <c r="C47" s="115"/>
      <c r="D47" s="159"/>
      <c r="E47" s="160"/>
      <c r="F47" s="160"/>
      <c r="G47" s="160"/>
      <c r="H47" s="161"/>
      <c r="I47" s="161"/>
      <c r="J47" s="152"/>
      <c r="K47" s="172"/>
      <c r="L47" s="172"/>
      <c r="M47" s="163"/>
      <c r="N47" s="172"/>
      <c r="O47" s="172"/>
      <c r="P47" s="224" t="s">
        <v>223</v>
      </c>
      <c r="Q47" s="165" t="s">
        <v>141</v>
      </c>
      <c r="R47" s="165">
        <v>60</v>
      </c>
      <c r="S47" s="165">
        <v>45</v>
      </c>
      <c r="T47" s="116">
        <f t="shared" si="0"/>
        <v>275</v>
      </c>
      <c r="U47" s="116">
        <f>121+T47</f>
        <v>396</v>
      </c>
      <c r="V47" s="116">
        <f t="shared" si="2"/>
        <v>121</v>
      </c>
      <c r="W47" s="116">
        <f t="shared" si="3"/>
        <v>432</v>
      </c>
      <c r="X47" s="116">
        <v>70</v>
      </c>
      <c r="Y47" s="116">
        <v>30</v>
      </c>
      <c r="Z47" s="116">
        <v>74</v>
      </c>
      <c r="AA47" s="116">
        <v>36</v>
      </c>
      <c r="AB47" s="155" t="s">
        <v>13</v>
      </c>
      <c r="AC47" s="217">
        <v>15</v>
      </c>
      <c r="AD47" s="226">
        <f t="shared" si="11"/>
        <v>316</v>
      </c>
      <c r="AE47" s="227">
        <f t="shared" si="4"/>
        <v>5.63483568879</v>
      </c>
      <c r="AF47" s="227">
        <f t="shared" si="8"/>
        <v>4.1029923189024</v>
      </c>
      <c r="AG47" s="228">
        <f t="shared" si="9"/>
        <v>9.7378280076924</v>
      </c>
      <c r="AH47" s="170">
        <f t="shared" si="5"/>
        <v>0.77754599999999996</v>
      </c>
      <c r="AI47" s="170">
        <f t="shared" si="1"/>
        <v>0.34017637499999998</v>
      </c>
      <c r="AJ47" s="229">
        <f t="shared" si="6"/>
        <v>0.43736962499999998</v>
      </c>
      <c r="AK47" s="171">
        <f t="shared" si="7"/>
        <v>3.4317420360299997</v>
      </c>
      <c r="AM47" s="223"/>
      <c r="AN47" s="223"/>
    </row>
    <row r="48" spans="1:40" s="157" customFormat="1" ht="19.5" thickBot="1">
      <c r="B48" s="152"/>
      <c r="C48" s="115"/>
      <c r="D48" s="159"/>
      <c r="E48" s="160"/>
      <c r="F48" s="160"/>
      <c r="G48" s="160"/>
      <c r="H48" s="161"/>
      <c r="I48" s="161"/>
      <c r="J48" s="152"/>
      <c r="K48" s="172"/>
      <c r="L48" s="172"/>
      <c r="M48" s="163"/>
      <c r="N48" s="172"/>
      <c r="O48" s="172"/>
      <c r="P48" s="224" t="s">
        <v>224</v>
      </c>
      <c r="Q48" s="165" t="s">
        <v>166</v>
      </c>
      <c r="R48" s="165">
        <v>63</v>
      </c>
      <c r="S48" s="165">
        <v>35</v>
      </c>
      <c r="T48" s="116">
        <f t="shared" si="0"/>
        <v>275</v>
      </c>
      <c r="U48" s="116">
        <f>145+T48</f>
        <v>420</v>
      </c>
      <c r="V48" s="116">
        <f t="shared" si="2"/>
        <v>145</v>
      </c>
      <c r="W48" s="116">
        <f t="shared" si="3"/>
        <v>456</v>
      </c>
      <c r="X48" s="116">
        <v>75</v>
      </c>
      <c r="Y48" s="116">
        <v>30</v>
      </c>
      <c r="Z48" s="116">
        <v>50</v>
      </c>
      <c r="AA48" s="116">
        <v>36</v>
      </c>
      <c r="AB48" s="155" t="s">
        <v>13</v>
      </c>
      <c r="AC48" s="225">
        <v>15</v>
      </c>
      <c r="AD48" s="226">
        <f t="shared" si="11"/>
        <v>316</v>
      </c>
      <c r="AE48" s="227">
        <f t="shared" si="4"/>
        <v>4.8823944720011996</v>
      </c>
      <c r="AF48" s="227">
        <f t="shared" si="8"/>
        <v>5.2980550786547997</v>
      </c>
      <c r="AG48" s="228">
        <f t="shared" si="9"/>
        <v>10.180449550656</v>
      </c>
      <c r="AH48" s="170">
        <f t="shared" si="5"/>
        <v>0.85724446499999996</v>
      </c>
      <c r="AI48" s="170">
        <f t="shared" si="1"/>
        <v>0.59266284000000002</v>
      </c>
      <c r="AJ48" s="229">
        <f t="shared" si="6"/>
        <v>0.26458162499999993</v>
      </c>
      <c r="AK48" s="171">
        <f t="shared" si="7"/>
        <v>2.0759920958700002</v>
      </c>
      <c r="AM48" s="223"/>
      <c r="AN48" s="223"/>
    </row>
    <row r="49" spans="1:43" s="157" customFormat="1" ht="18.75">
      <c r="B49" s="152"/>
      <c r="C49" s="115"/>
      <c r="D49" s="159"/>
      <c r="E49" s="160"/>
      <c r="F49" s="160"/>
      <c r="G49" s="160"/>
      <c r="H49" s="161"/>
      <c r="I49" s="161"/>
      <c r="J49" s="152"/>
      <c r="K49" s="172"/>
      <c r="L49" s="172"/>
      <c r="M49" s="163"/>
      <c r="N49" s="172"/>
      <c r="O49" s="172"/>
      <c r="P49" s="224" t="s">
        <v>225</v>
      </c>
      <c r="Q49" s="165" t="s">
        <v>130</v>
      </c>
      <c r="R49" s="165">
        <v>63</v>
      </c>
      <c r="S49" s="165">
        <v>36</v>
      </c>
      <c r="T49" s="116">
        <f t="shared" si="0"/>
        <v>275</v>
      </c>
      <c r="U49" s="116">
        <f>121+T49</f>
        <v>396</v>
      </c>
      <c r="V49" s="116">
        <f t="shared" si="2"/>
        <v>121</v>
      </c>
      <c r="W49" s="116">
        <f t="shared" si="3"/>
        <v>432</v>
      </c>
      <c r="X49" s="116">
        <v>75</v>
      </c>
      <c r="Y49" s="116">
        <v>30</v>
      </c>
      <c r="Z49" s="116">
        <v>50</v>
      </c>
      <c r="AA49" s="116">
        <v>36</v>
      </c>
      <c r="AB49" s="155" t="s">
        <v>13</v>
      </c>
      <c r="AC49" s="217">
        <v>15</v>
      </c>
      <c r="AD49" s="226">
        <f t="shared" si="11"/>
        <v>316</v>
      </c>
      <c r="AE49" s="227">
        <f t="shared" si="4"/>
        <v>5.0027172791903993</v>
      </c>
      <c r="AF49" s="227">
        <f t="shared" si="8"/>
        <v>4.4818689646795677</v>
      </c>
      <c r="AG49" s="228">
        <f t="shared" si="9"/>
        <v>9.4845862438699662</v>
      </c>
      <c r="AH49" s="170">
        <f t="shared" si="5"/>
        <v>0.85724446499999996</v>
      </c>
      <c r="AI49" s="170">
        <f t="shared" si="1"/>
        <v>0.57732790499999997</v>
      </c>
      <c r="AJ49" s="229">
        <f t="shared" si="6"/>
        <v>0.27991655999999998</v>
      </c>
      <c r="AK49" s="171">
        <f t="shared" si="7"/>
        <v>2.1963149030592</v>
      </c>
      <c r="AM49" s="223"/>
      <c r="AN49" s="223"/>
    </row>
    <row r="50" spans="1:43" s="157" customFormat="1" ht="19.5" thickBot="1">
      <c r="B50" s="152"/>
      <c r="C50" s="115"/>
      <c r="D50" s="159"/>
      <c r="E50" s="160"/>
      <c r="F50" s="160"/>
      <c r="G50" s="160"/>
      <c r="H50" s="161"/>
      <c r="I50" s="161"/>
      <c r="J50" s="152"/>
      <c r="K50" s="172"/>
      <c r="L50" s="172"/>
      <c r="M50" s="163"/>
      <c r="N50" s="172"/>
      <c r="O50" s="172"/>
      <c r="P50" s="224" t="s">
        <v>226</v>
      </c>
      <c r="Q50" s="165" t="s">
        <v>129</v>
      </c>
      <c r="R50" s="165">
        <v>63</v>
      </c>
      <c r="S50" s="165">
        <v>40</v>
      </c>
      <c r="T50" s="116">
        <f t="shared" si="0"/>
        <v>275</v>
      </c>
      <c r="U50" s="116">
        <f>121+T50</f>
        <v>396</v>
      </c>
      <c r="V50" s="116">
        <f t="shared" si="2"/>
        <v>121</v>
      </c>
      <c r="W50" s="116">
        <f t="shared" si="3"/>
        <v>432</v>
      </c>
      <c r="X50" s="116">
        <v>75</v>
      </c>
      <c r="Y50" s="116">
        <v>30</v>
      </c>
      <c r="Z50" s="116">
        <v>50</v>
      </c>
      <c r="AA50" s="116">
        <v>36</v>
      </c>
      <c r="AB50" s="155" t="s">
        <v>13</v>
      </c>
      <c r="AC50" s="225">
        <v>15</v>
      </c>
      <c r="AD50" s="226">
        <f t="shared" si="11"/>
        <v>316</v>
      </c>
      <c r="AE50" s="227">
        <f t="shared" si="4"/>
        <v>5.5179022564511992</v>
      </c>
      <c r="AF50" s="227">
        <f t="shared" si="8"/>
        <v>4.5493113617027996</v>
      </c>
      <c r="AG50" s="228">
        <f t="shared" si="9"/>
        <v>10.067213618154</v>
      </c>
      <c r="AH50" s="170">
        <f t="shared" si="5"/>
        <v>0.85724446499999996</v>
      </c>
      <c r="AI50" s="170">
        <f t="shared" si="1"/>
        <v>0.51166846499999996</v>
      </c>
      <c r="AJ50" s="229">
        <f t="shared" si="6"/>
        <v>0.34557599999999999</v>
      </c>
      <c r="AK50" s="171">
        <f t="shared" si="7"/>
        <v>2.7114998803199999</v>
      </c>
      <c r="AM50" s="223"/>
      <c r="AN50" s="223"/>
    </row>
    <row r="51" spans="1:43" s="157" customFormat="1" ht="18.75">
      <c r="B51" s="152"/>
      <c r="C51" s="115"/>
      <c r="D51" s="159"/>
      <c r="E51" s="160"/>
      <c r="F51" s="160"/>
      <c r="G51" s="160"/>
      <c r="H51" s="161"/>
      <c r="I51" s="161"/>
      <c r="J51" s="173"/>
      <c r="K51" s="172"/>
      <c r="L51" s="172"/>
      <c r="M51" s="163"/>
      <c r="N51" s="172"/>
      <c r="O51" s="172"/>
      <c r="P51" s="224" t="s">
        <v>263</v>
      </c>
      <c r="Q51" s="165" t="s">
        <v>128</v>
      </c>
      <c r="R51" s="165">
        <v>63</v>
      </c>
      <c r="S51" s="165">
        <v>45</v>
      </c>
      <c r="T51" s="116">
        <f t="shared" si="0"/>
        <v>275</v>
      </c>
      <c r="U51" s="116">
        <f>121+T51</f>
        <v>396</v>
      </c>
      <c r="V51" s="116">
        <f>U51-T51</f>
        <v>121</v>
      </c>
      <c r="W51" s="116">
        <f t="shared" si="3"/>
        <v>432</v>
      </c>
      <c r="X51" s="116">
        <v>75</v>
      </c>
      <c r="Y51" s="116">
        <v>30</v>
      </c>
      <c r="Z51" s="116">
        <v>63</v>
      </c>
      <c r="AA51" s="116">
        <v>36</v>
      </c>
      <c r="AB51" s="155" t="s">
        <v>13</v>
      </c>
      <c r="AC51" s="217">
        <v>15</v>
      </c>
      <c r="AD51" s="226">
        <f>41+T51</f>
        <v>316</v>
      </c>
      <c r="AE51" s="227">
        <f t="shared" si="4"/>
        <v>6.2381444121611995</v>
      </c>
      <c r="AF51" s="227">
        <f t="shared" si="8"/>
        <v>4.6435976075412002</v>
      </c>
      <c r="AG51" s="228">
        <f t="shared" si="9"/>
        <v>10.881742019702401</v>
      </c>
      <c r="AH51" s="170">
        <f>((3.1416*(R51*R51)/4)*T51)*0.000001</f>
        <v>0.85724446499999996</v>
      </c>
      <c r="AI51" s="170">
        <f t="shared" si="1"/>
        <v>0.41987483999999997</v>
      </c>
      <c r="AJ51" s="229">
        <f>AH51-AI51</f>
        <v>0.43736962499999998</v>
      </c>
      <c r="AK51" s="171">
        <f t="shared" si="7"/>
        <v>3.4317420360299997</v>
      </c>
      <c r="AM51" s="223"/>
      <c r="AN51" s="223"/>
    </row>
    <row r="52" spans="1:43" s="157" customFormat="1" ht="19.5" thickBot="1">
      <c r="B52" s="152"/>
      <c r="C52" s="115"/>
      <c r="D52" s="159"/>
      <c r="E52" s="160"/>
      <c r="F52" s="160"/>
      <c r="G52" s="160"/>
      <c r="H52" s="161"/>
      <c r="I52" s="161"/>
      <c r="J52" s="173"/>
      <c r="K52" s="172"/>
      <c r="L52" s="172"/>
      <c r="M52" s="163"/>
      <c r="N52" s="172"/>
      <c r="O52" s="172"/>
      <c r="P52" s="224" t="s">
        <v>220</v>
      </c>
      <c r="Q52" s="165" t="s">
        <v>127</v>
      </c>
      <c r="R52" s="165">
        <v>70</v>
      </c>
      <c r="S52" s="165">
        <v>30</v>
      </c>
      <c r="T52" s="116">
        <f t="shared" si="0"/>
        <v>275</v>
      </c>
      <c r="U52" s="116">
        <f>149+T52</f>
        <v>424</v>
      </c>
      <c r="V52" s="116">
        <f>U52-T52</f>
        <v>149</v>
      </c>
      <c r="W52" s="116">
        <f t="shared" si="3"/>
        <v>439</v>
      </c>
      <c r="X52" s="116">
        <v>80</v>
      </c>
      <c r="Y52" s="116">
        <v>37</v>
      </c>
      <c r="Z52" s="116">
        <v>63</v>
      </c>
      <c r="AA52" s="116">
        <v>15</v>
      </c>
      <c r="AB52" s="155" t="s">
        <v>13</v>
      </c>
      <c r="AC52" s="225">
        <v>15</v>
      </c>
      <c r="AD52" s="226">
        <f>49+T52</f>
        <v>324</v>
      </c>
      <c r="AE52" s="227">
        <f t="shared" si="4"/>
        <v>4.0672498204799981</v>
      </c>
      <c r="AF52" s="227">
        <f t="shared" si="8"/>
        <v>5.9597534869487996</v>
      </c>
      <c r="AG52" s="228">
        <f t="shared" si="9"/>
        <v>10.027003307428798</v>
      </c>
      <c r="AH52" s="170">
        <f>((3.1416*(R52*R52)/4)*T52)*0.000001</f>
        <v>1.0583264999999999</v>
      </c>
      <c r="AI52" s="170">
        <f t="shared" si="1"/>
        <v>0.86393999999999993</v>
      </c>
      <c r="AJ52" s="229">
        <f>AH52-AI52</f>
        <v>0.19438650000000002</v>
      </c>
      <c r="AK52" s="171">
        <f t="shared" si="7"/>
        <v>1.5252186826799998</v>
      </c>
      <c r="AM52" s="223"/>
      <c r="AN52" s="223"/>
      <c r="AO52" s="230"/>
      <c r="AP52" s="230"/>
      <c r="AQ52" s="230"/>
    </row>
    <row r="53" spans="1:43" s="230" customFormat="1" ht="18.75">
      <c r="A53" s="231"/>
      <c r="B53" s="174"/>
      <c r="C53" s="163"/>
      <c r="D53" s="159"/>
      <c r="E53" s="160"/>
      <c r="F53" s="160"/>
      <c r="G53" s="160"/>
      <c r="H53" s="161"/>
      <c r="I53" s="161"/>
      <c r="J53" s="173"/>
      <c r="K53" s="172"/>
      <c r="L53" s="172"/>
      <c r="M53" s="163"/>
      <c r="N53" s="172"/>
      <c r="O53" s="172"/>
      <c r="P53" s="224" t="s">
        <v>220</v>
      </c>
      <c r="Q53" s="165" t="s">
        <v>126</v>
      </c>
      <c r="R53" s="165">
        <v>70</v>
      </c>
      <c r="S53" s="165">
        <v>35</v>
      </c>
      <c r="T53" s="116">
        <f t="shared" si="0"/>
        <v>275</v>
      </c>
      <c r="U53" s="116">
        <f>149+T53</f>
        <v>424</v>
      </c>
      <c r="V53" s="116">
        <f t="shared" si="2"/>
        <v>149</v>
      </c>
      <c r="W53" s="116">
        <f t="shared" si="3"/>
        <v>439</v>
      </c>
      <c r="X53" s="116">
        <v>80</v>
      </c>
      <c r="Y53" s="116">
        <v>37</v>
      </c>
      <c r="Z53" s="116">
        <v>63</v>
      </c>
      <c r="AA53" s="116">
        <v>15</v>
      </c>
      <c r="AB53" s="155" t="s">
        <v>13</v>
      </c>
      <c r="AC53" s="217">
        <v>15</v>
      </c>
      <c r="AD53" s="226">
        <f t="shared" ref="AD53:AD72" si="12">49+T53</f>
        <v>324</v>
      </c>
      <c r="AE53" s="227">
        <f t="shared" si="4"/>
        <v>4.618023233669998</v>
      </c>
      <c r="AF53" s="227">
        <f t="shared" si="8"/>
        <v>5.9897956731227993</v>
      </c>
      <c r="AG53" s="228">
        <f t="shared" si="9"/>
        <v>10.607818906792797</v>
      </c>
      <c r="AH53" s="170">
        <f t="shared" si="5"/>
        <v>1.0583264999999999</v>
      </c>
      <c r="AI53" s="170">
        <f t="shared" si="1"/>
        <v>0.79374487500000002</v>
      </c>
      <c r="AJ53" s="229">
        <f t="shared" si="6"/>
        <v>0.26458162499999993</v>
      </c>
      <c r="AK53" s="171">
        <f t="shared" si="7"/>
        <v>2.0759920958700002</v>
      </c>
      <c r="AM53" s="223"/>
      <c r="AN53" s="223"/>
    </row>
    <row r="54" spans="1:43" s="230" customFormat="1" ht="19.5" thickBot="1">
      <c r="A54" s="231"/>
      <c r="B54" s="174"/>
      <c r="C54" s="115"/>
      <c r="D54" s="159"/>
      <c r="E54" s="160"/>
      <c r="F54" s="160"/>
      <c r="G54" s="160"/>
      <c r="H54" s="161"/>
      <c r="I54" s="161"/>
      <c r="J54" s="173"/>
      <c r="K54" s="172"/>
      <c r="L54" s="172"/>
      <c r="M54" s="163"/>
      <c r="N54" s="172"/>
      <c r="O54" s="172"/>
      <c r="P54" s="224" t="s">
        <v>59</v>
      </c>
      <c r="Q54" s="165" t="s">
        <v>125</v>
      </c>
      <c r="R54" s="165">
        <v>70</v>
      </c>
      <c r="S54" s="165">
        <v>40</v>
      </c>
      <c r="T54" s="116">
        <f t="shared" si="0"/>
        <v>275</v>
      </c>
      <c r="U54" s="116">
        <f>149+T54</f>
        <v>424</v>
      </c>
      <c r="V54" s="116">
        <f t="shared" si="2"/>
        <v>149</v>
      </c>
      <c r="W54" s="116">
        <f t="shared" si="3"/>
        <v>439</v>
      </c>
      <c r="X54" s="116">
        <v>80</v>
      </c>
      <c r="Y54" s="116">
        <v>37</v>
      </c>
      <c r="Z54" s="116">
        <v>63</v>
      </c>
      <c r="AA54" s="116">
        <v>15</v>
      </c>
      <c r="AB54" s="155" t="s">
        <v>13</v>
      </c>
      <c r="AC54" s="225">
        <v>15</v>
      </c>
      <c r="AD54" s="226">
        <f t="shared" si="12"/>
        <v>324</v>
      </c>
      <c r="AE54" s="227">
        <f t="shared" si="4"/>
        <v>5.2535310181199977</v>
      </c>
      <c r="AF54" s="227">
        <f t="shared" si="8"/>
        <v>6.0244597340927992</v>
      </c>
      <c r="AG54" s="228">
        <f t="shared" si="9"/>
        <v>11.277990752212798</v>
      </c>
      <c r="AH54" s="170">
        <f t="shared" si="5"/>
        <v>1.0583264999999999</v>
      </c>
      <c r="AI54" s="170">
        <f t="shared" si="1"/>
        <v>0.71275049999999995</v>
      </c>
      <c r="AJ54" s="229">
        <f t="shared" si="6"/>
        <v>0.34557599999999999</v>
      </c>
      <c r="AK54" s="171">
        <f t="shared" si="7"/>
        <v>2.7114998803199999</v>
      </c>
      <c r="AM54" s="223"/>
      <c r="AN54" s="223"/>
    </row>
    <row r="55" spans="1:43" s="230" customFormat="1" ht="18.75">
      <c r="A55" s="231"/>
      <c r="B55" s="174"/>
      <c r="C55" s="115"/>
      <c r="D55" s="159"/>
      <c r="E55" s="160"/>
      <c r="F55" s="160"/>
      <c r="G55" s="160"/>
      <c r="H55" s="161"/>
      <c r="I55" s="161"/>
      <c r="J55" s="173"/>
      <c r="K55" s="172"/>
      <c r="L55" s="172"/>
      <c r="M55" s="163"/>
      <c r="N55" s="172"/>
      <c r="O55" s="172"/>
      <c r="P55" s="232" t="s">
        <v>60</v>
      </c>
      <c r="Q55" s="165" t="s">
        <v>124</v>
      </c>
      <c r="R55" s="165">
        <v>70</v>
      </c>
      <c r="S55" s="165">
        <v>45</v>
      </c>
      <c r="T55" s="165">
        <f t="shared" si="0"/>
        <v>275</v>
      </c>
      <c r="U55" s="165">
        <f>149+T55</f>
        <v>424</v>
      </c>
      <c r="V55" s="165">
        <f t="shared" si="2"/>
        <v>149</v>
      </c>
      <c r="W55" s="116">
        <f t="shared" si="3"/>
        <v>439</v>
      </c>
      <c r="X55" s="165">
        <v>80</v>
      </c>
      <c r="Y55" s="165">
        <v>37</v>
      </c>
      <c r="Z55" s="165">
        <v>63</v>
      </c>
      <c r="AA55" s="165">
        <v>15</v>
      </c>
      <c r="AB55" s="167" t="s">
        <v>13</v>
      </c>
      <c r="AC55" s="217">
        <v>15</v>
      </c>
      <c r="AD55" s="233">
        <f t="shared" si="12"/>
        <v>324</v>
      </c>
      <c r="AE55" s="227">
        <f t="shared" si="4"/>
        <v>5.973773173829998</v>
      </c>
      <c r="AF55" s="227">
        <f t="shared" si="8"/>
        <v>6.0637456698587995</v>
      </c>
      <c r="AG55" s="228">
        <f t="shared" si="9"/>
        <v>12.037518843688797</v>
      </c>
      <c r="AH55" s="170">
        <f t="shared" si="5"/>
        <v>1.0583264999999999</v>
      </c>
      <c r="AI55" s="170">
        <f t="shared" si="1"/>
        <v>0.62095687499999996</v>
      </c>
      <c r="AJ55" s="229">
        <f t="shared" si="6"/>
        <v>0.43736962499999998</v>
      </c>
      <c r="AK55" s="171">
        <f t="shared" si="7"/>
        <v>3.4317420360299997</v>
      </c>
      <c r="AM55" s="223"/>
      <c r="AN55" s="223"/>
    </row>
    <row r="56" spans="1:43" s="230" customFormat="1" ht="19.5" thickBot="1">
      <c r="A56" s="231"/>
      <c r="B56" s="174"/>
      <c r="C56" s="163"/>
      <c r="D56" s="159"/>
      <c r="E56" s="160"/>
      <c r="F56" s="160"/>
      <c r="G56" s="160"/>
      <c r="H56" s="161"/>
      <c r="I56" s="161"/>
      <c r="J56" s="173"/>
      <c r="K56" s="172"/>
      <c r="L56" s="172"/>
      <c r="M56" s="163"/>
      <c r="N56" s="172"/>
      <c r="O56" s="172"/>
      <c r="P56" s="232" t="s">
        <v>255</v>
      </c>
      <c r="Q56" s="165" t="s">
        <v>123</v>
      </c>
      <c r="R56" s="165">
        <v>70</v>
      </c>
      <c r="S56" s="165">
        <v>50</v>
      </c>
      <c r="T56" s="165">
        <f t="shared" si="0"/>
        <v>275</v>
      </c>
      <c r="U56" s="165">
        <f>149+T56</f>
        <v>424</v>
      </c>
      <c r="V56" s="165">
        <f>U56-T56</f>
        <v>149</v>
      </c>
      <c r="W56" s="116">
        <f t="shared" si="3"/>
        <v>439</v>
      </c>
      <c r="X56" s="165">
        <v>80</v>
      </c>
      <c r="Y56" s="165">
        <v>37</v>
      </c>
      <c r="Z56" s="165">
        <v>63</v>
      </c>
      <c r="AA56" s="165">
        <v>15</v>
      </c>
      <c r="AB56" s="167" t="s">
        <v>13</v>
      </c>
      <c r="AC56" s="225">
        <v>15</v>
      </c>
      <c r="AD56" s="233">
        <f>49+T56</f>
        <v>324</v>
      </c>
      <c r="AE56" s="227">
        <f t="shared" si="4"/>
        <v>6.7787497007999979</v>
      </c>
      <c r="AF56" s="227">
        <f t="shared" si="8"/>
        <v>6.1076534804207991</v>
      </c>
      <c r="AG56" s="228">
        <f t="shared" si="9"/>
        <v>12.886403181220796</v>
      </c>
      <c r="AH56" s="170">
        <f>((3.1416*(R56*R56)/4)*T56)*0.000001</f>
        <v>1.0583264999999999</v>
      </c>
      <c r="AI56" s="170">
        <f t="shared" si="1"/>
        <v>0.51836400000000005</v>
      </c>
      <c r="AJ56" s="229">
        <f>AH56-AI56</f>
        <v>0.5399624999999999</v>
      </c>
      <c r="AK56" s="171">
        <f>((((3.1416*S56*S56)/4)*T56)*0.0000001)*78.4632</f>
        <v>4.2367185629999993</v>
      </c>
      <c r="AM56" s="223"/>
      <c r="AN56" s="223"/>
    </row>
    <row r="57" spans="1:43" s="230" customFormat="1" ht="18.75">
      <c r="A57" s="231"/>
      <c r="B57" s="174"/>
      <c r="C57" s="115"/>
      <c r="D57" s="159"/>
      <c r="E57" s="160"/>
      <c r="F57" s="160"/>
      <c r="G57" s="160"/>
      <c r="H57" s="161"/>
      <c r="I57" s="161"/>
      <c r="J57" s="173"/>
      <c r="K57" s="172"/>
      <c r="L57" s="172"/>
      <c r="M57" s="163"/>
      <c r="N57" s="172"/>
      <c r="O57" s="172"/>
      <c r="P57" s="232" t="s">
        <v>221</v>
      </c>
      <c r="Q57" s="165" t="s">
        <v>142</v>
      </c>
      <c r="R57" s="165">
        <v>70</v>
      </c>
      <c r="S57" s="165">
        <v>55</v>
      </c>
      <c r="T57" s="165">
        <f t="shared" si="0"/>
        <v>275</v>
      </c>
      <c r="U57" s="165">
        <f>168+T57</f>
        <v>443</v>
      </c>
      <c r="V57" s="165">
        <f t="shared" si="2"/>
        <v>168</v>
      </c>
      <c r="W57" s="116">
        <f t="shared" si="3"/>
        <v>458</v>
      </c>
      <c r="X57" s="165">
        <v>80</v>
      </c>
      <c r="Y57" s="165">
        <v>37</v>
      </c>
      <c r="Z57" s="165">
        <v>82</v>
      </c>
      <c r="AA57" s="165">
        <v>15</v>
      </c>
      <c r="AB57" s="167" t="s">
        <v>13</v>
      </c>
      <c r="AC57" s="217">
        <v>15</v>
      </c>
      <c r="AD57" s="233">
        <f t="shared" si="12"/>
        <v>324</v>
      </c>
      <c r="AE57" s="227">
        <f t="shared" si="4"/>
        <v>7.6684605990299977</v>
      </c>
      <c r="AF57" s="227">
        <f t="shared" si="8"/>
        <v>6.905543132703599</v>
      </c>
      <c r="AG57" s="228">
        <f t="shared" si="9"/>
        <v>14.574003731733598</v>
      </c>
      <c r="AH57" s="170">
        <f t="shared" si="5"/>
        <v>1.0583264999999999</v>
      </c>
      <c r="AI57" s="170">
        <f t="shared" si="1"/>
        <v>0.40497187499999998</v>
      </c>
      <c r="AJ57" s="229">
        <f t="shared" si="6"/>
        <v>0.65335462499999997</v>
      </c>
      <c r="AK57" s="171">
        <f t="shared" si="7"/>
        <v>5.1264294612299999</v>
      </c>
      <c r="AM57" s="223"/>
      <c r="AN57" s="223"/>
    </row>
    <row r="58" spans="1:43" s="230" customFormat="1" ht="19.5" thickBot="1">
      <c r="A58" s="231"/>
      <c r="B58" s="174"/>
      <c r="C58" s="115"/>
      <c r="D58" s="159"/>
      <c r="E58" s="160"/>
      <c r="F58" s="160"/>
      <c r="G58" s="160"/>
      <c r="H58" s="161"/>
      <c r="I58" s="161"/>
      <c r="J58" s="173"/>
      <c r="K58" s="172"/>
      <c r="L58" s="172"/>
      <c r="M58" s="163"/>
      <c r="N58" s="172"/>
      <c r="O58" s="172"/>
      <c r="P58" s="232" t="s">
        <v>222</v>
      </c>
      <c r="Q58" s="165" t="s">
        <v>143</v>
      </c>
      <c r="R58" s="165">
        <v>70</v>
      </c>
      <c r="S58" s="165">
        <v>60</v>
      </c>
      <c r="T58" s="165">
        <f t="shared" si="0"/>
        <v>275</v>
      </c>
      <c r="U58" s="165">
        <f>168+T58</f>
        <v>443</v>
      </c>
      <c r="V58" s="165">
        <f>U58-T58</f>
        <v>168</v>
      </c>
      <c r="W58" s="116">
        <f t="shared" si="3"/>
        <v>458</v>
      </c>
      <c r="X58" s="165">
        <v>80</v>
      </c>
      <c r="Y58" s="165">
        <v>37</v>
      </c>
      <c r="Z58" s="165">
        <v>82</v>
      </c>
      <c r="AA58" s="165">
        <v>15</v>
      </c>
      <c r="AB58" s="167" t="s">
        <v>13</v>
      </c>
      <c r="AC58" s="225">
        <v>15</v>
      </c>
      <c r="AD58" s="233">
        <f t="shared" si="12"/>
        <v>324</v>
      </c>
      <c r="AE58" s="227">
        <f t="shared" si="4"/>
        <v>8.642905868519998</v>
      </c>
      <c r="AF58" s="227">
        <f t="shared" si="8"/>
        <v>6.9586946928575992</v>
      </c>
      <c r="AG58" s="228">
        <f t="shared" si="9"/>
        <v>15.601600561377598</v>
      </c>
      <c r="AH58" s="170">
        <f t="shared" si="5"/>
        <v>1.0583264999999999</v>
      </c>
      <c r="AI58" s="170">
        <f t="shared" si="1"/>
        <v>0.28078049999999999</v>
      </c>
      <c r="AJ58" s="229">
        <f t="shared" si="6"/>
        <v>0.77754599999999996</v>
      </c>
      <c r="AK58" s="171">
        <f t="shared" si="7"/>
        <v>6.1008747307199993</v>
      </c>
      <c r="AM58" s="223"/>
      <c r="AN58" s="223"/>
    </row>
    <row r="59" spans="1:43" s="230" customFormat="1" ht="18.75">
      <c r="A59" s="231"/>
      <c r="B59" s="174"/>
      <c r="C59" s="115"/>
      <c r="D59" s="159"/>
      <c r="E59" s="160"/>
      <c r="F59" s="160"/>
      <c r="G59" s="160"/>
      <c r="H59" s="161"/>
      <c r="I59" s="161"/>
      <c r="J59" s="173"/>
      <c r="K59" s="172"/>
      <c r="L59" s="172"/>
      <c r="M59" s="163"/>
      <c r="N59" s="172"/>
      <c r="O59" s="172"/>
      <c r="P59" s="232" t="s">
        <v>219</v>
      </c>
      <c r="Q59" s="165" t="s">
        <v>122</v>
      </c>
      <c r="R59" s="165">
        <v>80</v>
      </c>
      <c r="S59" s="165">
        <v>35</v>
      </c>
      <c r="T59" s="165">
        <f t="shared" si="0"/>
        <v>275</v>
      </c>
      <c r="U59" s="165">
        <f t="shared" ref="U59:U65" si="13">149+T59</f>
        <v>424</v>
      </c>
      <c r="V59" s="165">
        <f t="shared" si="2"/>
        <v>149</v>
      </c>
      <c r="W59" s="116">
        <f t="shared" si="3"/>
        <v>439</v>
      </c>
      <c r="X59" s="165">
        <v>90</v>
      </c>
      <c r="Y59" s="165">
        <v>37</v>
      </c>
      <c r="Z59" s="165">
        <v>63</v>
      </c>
      <c r="AA59" s="165">
        <v>15</v>
      </c>
      <c r="AB59" s="167" t="s">
        <v>13</v>
      </c>
      <c r="AC59" s="217">
        <v>15</v>
      </c>
      <c r="AD59" s="233">
        <f t="shared" si="12"/>
        <v>324</v>
      </c>
      <c r="AE59" s="227">
        <f t="shared" si="4"/>
        <v>4.9569607187100013</v>
      </c>
      <c r="AF59" s="227">
        <f t="shared" si="8"/>
        <v>7.5507568542251997</v>
      </c>
      <c r="AG59" s="228">
        <f t="shared" si="9"/>
        <v>12.507717572935201</v>
      </c>
      <c r="AH59" s="170">
        <f t="shared" si="5"/>
        <v>1.3823039999999998</v>
      </c>
      <c r="AI59" s="170">
        <f t="shared" si="1"/>
        <v>1.1177223749999998</v>
      </c>
      <c r="AJ59" s="229">
        <f t="shared" si="6"/>
        <v>0.26458162499999993</v>
      </c>
      <c r="AK59" s="171">
        <f t="shared" si="7"/>
        <v>2.0759920958700002</v>
      </c>
      <c r="AM59" s="223"/>
      <c r="AN59" s="223"/>
    </row>
    <row r="60" spans="1:43" s="230" customFormat="1" ht="19.5" thickBot="1">
      <c r="A60" s="231"/>
      <c r="B60" s="174"/>
      <c r="C60" s="115"/>
      <c r="D60" s="159"/>
      <c r="E60" s="160"/>
      <c r="F60" s="160"/>
      <c r="G60" s="160"/>
      <c r="H60" s="161"/>
      <c r="I60" s="161"/>
      <c r="J60" s="173"/>
      <c r="K60" s="172"/>
      <c r="L60" s="172"/>
      <c r="M60" s="163"/>
      <c r="N60" s="172"/>
      <c r="O60" s="172"/>
      <c r="P60" s="232" t="s">
        <v>61</v>
      </c>
      <c r="Q60" s="165" t="s">
        <v>121</v>
      </c>
      <c r="R60" s="165">
        <v>80</v>
      </c>
      <c r="S60" s="165">
        <v>40</v>
      </c>
      <c r="T60" s="165">
        <f t="shared" si="0"/>
        <v>275</v>
      </c>
      <c r="U60" s="165">
        <f t="shared" si="13"/>
        <v>424</v>
      </c>
      <c r="V60" s="165">
        <f t="shared" si="2"/>
        <v>149</v>
      </c>
      <c r="W60" s="116">
        <f t="shared" si="3"/>
        <v>439</v>
      </c>
      <c r="X60" s="165">
        <v>90</v>
      </c>
      <c r="Y60" s="165">
        <v>37</v>
      </c>
      <c r="Z60" s="165">
        <v>63</v>
      </c>
      <c r="AA60" s="165">
        <v>15</v>
      </c>
      <c r="AB60" s="167" t="s">
        <v>13</v>
      </c>
      <c r="AC60" s="225">
        <v>15</v>
      </c>
      <c r="AD60" s="233">
        <f t="shared" si="12"/>
        <v>324</v>
      </c>
      <c r="AE60" s="227">
        <f t="shared" si="4"/>
        <v>5.592468503160001</v>
      </c>
      <c r="AF60" s="227">
        <f t="shared" si="8"/>
        <v>7.5854209151951997</v>
      </c>
      <c r="AG60" s="228">
        <f t="shared" si="9"/>
        <v>13.1778894183552</v>
      </c>
      <c r="AH60" s="170">
        <f t="shared" si="5"/>
        <v>1.3823039999999998</v>
      </c>
      <c r="AI60" s="170">
        <f t="shared" si="1"/>
        <v>1.0367279999999996</v>
      </c>
      <c r="AJ60" s="229">
        <f t="shared" si="6"/>
        <v>0.34557600000000011</v>
      </c>
      <c r="AK60" s="171">
        <f t="shared" si="7"/>
        <v>2.7114998803199999</v>
      </c>
      <c r="AM60" s="223"/>
      <c r="AN60" s="223"/>
    </row>
    <row r="61" spans="1:43" s="230" customFormat="1" ht="18.75">
      <c r="A61" s="231"/>
      <c r="B61" s="174"/>
      <c r="C61" s="115"/>
      <c r="D61" s="159"/>
      <c r="E61" s="160"/>
      <c r="F61" s="160"/>
      <c r="G61" s="160"/>
      <c r="H61" s="161"/>
      <c r="I61" s="161"/>
      <c r="J61" s="173"/>
      <c r="K61" s="172"/>
      <c r="L61" s="172"/>
      <c r="M61" s="163"/>
      <c r="N61" s="172"/>
      <c r="O61" s="172"/>
      <c r="P61" s="232" t="s">
        <v>62</v>
      </c>
      <c r="Q61" s="165" t="s">
        <v>120</v>
      </c>
      <c r="R61" s="165">
        <v>80</v>
      </c>
      <c r="S61" s="165">
        <v>45</v>
      </c>
      <c r="T61" s="165">
        <f t="shared" si="0"/>
        <v>275</v>
      </c>
      <c r="U61" s="165">
        <f t="shared" si="13"/>
        <v>424</v>
      </c>
      <c r="V61" s="165">
        <f t="shared" si="2"/>
        <v>149</v>
      </c>
      <c r="W61" s="116">
        <f t="shared" si="3"/>
        <v>439</v>
      </c>
      <c r="X61" s="165">
        <v>90</v>
      </c>
      <c r="Y61" s="165">
        <v>37</v>
      </c>
      <c r="Z61" s="165">
        <v>63</v>
      </c>
      <c r="AA61" s="165">
        <v>15</v>
      </c>
      <c r="AB61" s="167" t="s">
        <v>13</v>
      </c>
      <c r="AC61" s="217">
        <v>15</v>
      </c>
      <c r="AD61" s="233">
        <f t="shared" si="12"/>
        <v>324</v>
      </c>
      <c r="AE61" s="227">
        <f t="shared" si="4"/>
        <v>6.3127106588700013</v>
      </c>
      <c r="AF61" s="227">
        <f t="shared" si="8"/>
        <v>7.6247068509611999</v>
      </c>
      <c r="AG61" s="228">
        <f t="shared" si="9"/>
        <v>13.937417509831201</v>
      </c>
      <c r="AH61" s="170">
        <f t="shared" si="5"/>
        <v>1.3823039999999998</v>
      </c>
      <c r="AI61" s="170">
        <f t="shared" si="1"/>
        <v>0.94493437499999977</v>
      </c>
      <c r="AJ61" s="229">
        <f t="shared" si="6"/>
        <v>0.43736962499999998</v>
      </c>
      <c r="AK61" s="171">
        <f t="shared" si="7"/>
        <v>3.4317420360299997</v>
      </c>
      <c r="AM61" s="223"/>
      <c r="AN61" s="223"/>
    </row>
    <row r="62" spans="1:43" s="230" customFormat="1" ht="19.5" thickBot="1">
      <c r="A62" s="231"/>
      <c r="B62" s="174"/>
      <c r="C62" s="115"/>
      <c r="D62" s="159"/>
      <c r="E62" s="160"/>
      <c r="F62" s="160"/>
      <c r="G62" s="160"/>
      <c r="H62" s="161"/>
      <c r="I62" s="161"/>
      <c r="J62" s="173"/>
      <c r="K62" s="172"/>
      <c r="L62" s="172"/>
      <c r="M62" s="163"/>
      <c r="N62" s="172"/>
      <c r="O62" s="172"/>
      <c r="P62" s="232" t="s">
        <v>63</v>
      </c>
      <c r="Q62" s="165" t="s">
        <v>119</v>
      </c>
      <c r="R62" s="165">
        <v>80</v>
      </c>
      <c r="S62" s="165">
        <v>50</v>
      </c>
      <c r="T62" s="165">
        <f t="shared" si="0"/>
        <v>275</v>
      </c>
      <c r="U62" s="165">
        <f t="shared" si="13"/>
        <v>424</v>
      </c>
      <c r="V62" s="165">
        <f t="shared" si="2"/>
        <v>149</v>
      </c>
      <c r="W62" s="116">
        <f t="shared" si="3"/>
        <v>439</v>
      </c>
      <c r="X62" s="165">
        <v>90</v>
      </c>
      <c r="Y62" s="165">
        <v>37</v>
      </c>
      <c r="Z62" s="165">
        <v>63</v>
      </c>
      <c r="AA62" s="165">
        <v>15</v>
      </c>
      <c r="AB62" s="167" t="s">
        <v>13</v>
      </c>
      <c r="AC62" s="225">
        <v>15</v>
      </c>
      <c r="AD62" s="233">
        <f t="shared" si="12"/>
        <v>324</v>
      </c>
      <c r="AE62" s="227">
        <f t="shared" si="4"/>
        <v>7.1176871858400013</v>
      </c>
      <c r="AF62" s="227">
        <f t="shared" si="8"/>
        <v>7.6686146615231996</v>
      </c>
      <c r="AG62" s="228">
        <f t="shared" si="9"/>
        <v>14.786301847363202</v>
      </c>
      <c r="AH62" s="170">
        <f t="shared" si="5"/>
        <v>1.3823039999999998</v>
      </c>
      <c r="AI62" s="170">
        <f t="shared" si="1"/>
        <v>0.84234149999999985</v>
      </c>
      <c r="AJ62" s="229">
        <f t="shared" si="6"/>
        <v>0.5399624999999999</v>
      </c>
      <c r="AK62" s="171">
        <f t="shared" si="7"/>
        <v>4.2367185629999993</v>
      </c>
      <c r="AM62" s="223"/>
      <c r="AN62" s="223"/>
    </row>
    <row r="63" spans="1:43" s="230" customFormat="1" ht="19.5" thickBot="1">
      <c r="A63" s="231"/>
      <c r="B63" s="174"/>
      <c r="C63" s="115"/>
      <c r="D63" s="159"/>
      <c r="E63" s="160"/>
      <c r="F63" s="160"/>
      <c r="G63" s="160"/>
      <c r="H63" s="161"/>
      <c r="I63" s="161"/>
      <c r="J63" s="173"/>
      <c r="K63" s="172"/>
      <c r="L63" s="172"/>
      <c r="M63" s="163"/>
      <c r="N63" s="172"/>
      <c r="O63" s="172"/>
      <c r="P63" s="232" t="s">
        <v>217</v>
      </c>
      <c r="Q63" s="165" t="s">
        <v>118</v>
      </c>
      <c r="R63" s="165">
        <v>80</v>
      </c>
      <c r="S63" s="165">
        <v>55</v>
      </c>
      <c r="T63" s="165">
        <f t="shared" si="0"/>
        <v>275</v>
      </c>
      <c r="U63" s="165">
        <f t="shared" si="13"/>
        <v>424</v>
      </c>
      <c r="V63" s="165">
        <f t="shared" si="2"/>
        <v>149</v>
      </c>
      <c r="W63" s="116">
        <f t="shared" si="3"/>
        <v>439</v>
      </c>
      <c r="X63" s="165">
        <v>90</v>
      </c>
      <c r="Y63" s="165">
        <v>37</v>
      </c>
      <c r="Z63" s="165">
        <v>63</v>
      </c>
      <c r="AA63" s="165">
        <v>15</v>
      </c>
      <c r="AB63" s="167" t="s">
        <v>13</v>
      </c>
      <c r="AC63" s="217">
        <v>15</v>
      </c>
      <c r="AD63" s="233">
        <f t="shared" si="12"/>
        <v>324</v>
      </c>
      <c r="AE63" s="227">
        <f t="shared" si="4"/>
        <v>8.007398084070001</v>
      </c>
      <c r="AF63" s="227">
        <f t="shared" si="8"/>
        <v>7.7171443468811995</v>
      </c>
      <c r="AG63" s="228">
        <f t="shared" si="9"/>
        <v>15.7245424309512</v>
      </c>
      <c r="AH63" s="170">
        <f t="shared" si="5"/>
        <v>1.3823039999999998</v>
      </c>
      <c r="AI63" s="170">
        <f t="shared" si="1"/>
        <v>0.72894937499999979</v>
      </c>
      <c r="AJ63" s="229">
        <f t="shared" si="6"/>
        <v>0.65335462499999997</v>
      </c>
      <c r="AK63" s="171">
        <f t="shared" si="7"/>
        <v>5.1264294612299999</v>
      </c>
      <c r="AM63" s="223"/>
      <c r="AN63" s="223"/>
    </row>
    <row r="64" spans="1:43" s="230" customFormat="1" ht="18.75">
      <c r="A64" s="231"/>
      <c r="B64" s="174"/>
      <c r="C64" s="115"/>
      <c r="D64" s="159"/>
      <c r="E64" s="160"/>
      <c r="F64" s="160"/>
      <c r="G64" s="160"/>
      <c r="H64" s="161"/>
      <c r="I64" s="161"/>
      <c r="J64" s="173"/>
      <c r="K64" s="172"/>
      <c r="L64" s="172"/>
      <c r="M64" s="163"/>
      <c r="N64" s="172"/>
      <c r="O64" s="172"/>
      <c r="P64" s="232" t="s">
        <v>266</v>
      </c>
      <c r="Q64" s="165" t="s">
        <v>265</v>
      </c>
      <c r="R64" s="165">
        <v>80</v>
      </c>
      <c r="S64" s="165">
        <v>56</v>
      </c>
      <c r="T64" s="165">
        <f t="shared" si="0"/>
        <v>275</v>
      </c>
      <c r="U64" s="165">
        <f>154+T64</f>
        <v>429</v>
      </c>
      <c r="V64" s="165">
        <f>U64-T64</f>
        <v>154</v>
      </c>
      <c r="W64" s="116">
        <f>U64+AA64</f>
        <v>444</v>
      </c>
      <c r="X64" s="165">
        <v>90</v>
      </c>
      <c r="Y64" s="165">
        <v>37</v>
      </c>
      <c r="Z64" s="165">
        <v>68</v>
      </c>
      <c r="AA64" s="165">
        <v>15</v>
      </c>
      <c r="AB64" s="167" t="s">
        <v>13</v>
      </c>
      <c r="AC64" s="217">
        <v>15</v>
      </c>
      <c r="AD64" s="233">
        <f>49+T64</f>
        <v>324</v>
      </c>
      <c r="AE64" s="227">
        <f>((((X64*X64*3.1416)/4)*T64)-(((R64*R64*3.1416)/4)*T64)+(((S64*S64*3.1416)/4)*T64))*0.00000784632</f>
        <v>8.1955083882672017</v>
      </c>
      <c r="AF64" s="227">
        <f>((((X64*X64*3.1416)/4)*V64)+(((S64*S64*3.1416)/4)*AA64))*0.00000784632</f>
        <v>7.976986147912319</v>
      </c>
      <c r="AG64" s="228">
        <f>AE64+AF64</f>
        <v>16.172494536179521</v>
      </c>
      <c r="AH64" s="170">
        <f>((3.1416*(R64*R64)/4)*T64)*0.000001</f>
        <v>1.3823039999999998</v>
      </c>
      <c r="AI64" s="170">
        <f>AH64-(((3.1416*S64*S64)/4)*T64*0.000001)</f>
        <v>0.70497503999999978</v>
      </c>
      <c r="AJ64" s="229">
        <f>AH64-AI64</f>
        <v>0.67732895999999998</v>
      </c>
      <c r="AK64" s="171">
        <f>((((3.1416*S64*S64)/4)*T64)*0.0000001)*78.4632</f>
        <v>5.3145397654271989</v>
      </c>
      <c r="AM64" s="223"/>
      <c r="AN64" s="223"/>
    </row>
    <row r="65" spans="1:40" s="230" customFormat="1" ht="19.5" thickBot="1">
      <c r="A65" s="231"/>
      <c r="B65" s="174"/>
      <c r="C65" s="115"/>
      <c r="D65" s="159"/>
      <c r="E65" s="160"/>
      <c r="F65" s="160"/>
      <c r="G65" s="160"/>
      <c r="H65" s="161"/>
      <c r="I65" s="161"/>
      <c r="J65" s="173"/>
      <c r="K65" s="172"/>
      <c r="L65" s="172"/>
      <c r="M65" s="163"/>
      <c r="N65" s="172"/>
      <c r="O65" s="172"/>
      <c r="P65" s="232" t="s">
        <v>218</v>
      </c>
      <c r="Q65" s="165" t="s">
        <v>117</v>
      </c>
      <c r="R65" s="165">
        <v>80</v>
      </c>
      <c r="S65" s="165">
        <v>60</v>
      </c>
      <c r="T65" s="165">
        <f t="shared" si="0"/>
        <v>275</v>
      </c>
      <c r="U65" s="165">
        <f t="shared" si="13"/>
        <v>424</v>
      </c>
      <c r="V65" s="165">
        <f t="shared" si="2"/>
        <v>149</v>
      </c>
      <c r="W65" s="116">
        <f t="shared" si="3"/>
        <v>439</v>
      </c>
      <c r="X65" s="165">
        <v>90</v>
      </c>
      <c r="Y65" s="165">
        <v>37</v>
      </c>
      <c r="Z65" s="165">
        <v>63</v>
      </c>
      <c r="AA65" s="165">
        <v>15</v>
      </c>
      <c r="AB65" s="167" t="s">
        <v>13</v>
      </c>
      <c r="AC65" s="225">
        <v>15</v>
      </c>
      <c r="AD65" s="233">
        <f t="shared" si="12"/>
        <v>324</v>
      </c>
      <c r="AE65" s="227">
        <f t="shared" si="4"/>
        <v>8.9818433535600004</v>
      </c>
      <c r="AF65" s="227">
        <f t="shared" si="8"/>
        <v>7.7702959070351989</v>
      </c>
      <c r="AG65" s="228">
        <f t="shared" si="9"/>
        <v>16.7521392605952</v>
      </c>
      <c r="AH65" s="170">
        <f t="shared" si="5"/>
        <v>1.3823039999999998</v>
      </c>
      <c r="AI65" s="170">
        <f t="shared" si="1"/>
        <v>0.6047579999999998</v>
      </c>
      <c r="AJ65" s="229">
        <f t="shared" si="6"/>
        <v>0.77754599999999996</v>
      </c>
      <c r="AK65" s="171">
        <f t="shared" si="7"/>
        <v>6.1008747307199993</v>
      </c>
      <c r="AM65" s="223"/>
      <c r="AN65" s="223"/>
    </row>
    <row r="66" spans="1:40" s="230" customFormat="1" ht="18.75">
      <c r="A66" s="231"/>
      <c r="B66" s="174"/>
      <c r="C66" s="115"/>
      <c r="D66" s="159"/>
      <c r="E66" s="160"/>
      <c r="F66" s="160"/>
      <c r="G66" s="160"/>
      <c r="H66" s="161"/>
      <c r="I66" s="161"/>
      <c r="J66" s="173"/>
      <c r="K66" s="172"/>
      <c r="L66" s="172"/>
      <c r="M66" s="163"/>
      <c r="N66" s="172"/>
      <c r="O66" s="172"/>
      <c r="P66" s="232" t="s">
        <v>216</v>
      </c>
      <c r="Q66" s="165" t="s">
        <v>144</v>
      </c>
      <c r="R66" s="165">
        <v>90</v>
      </c>
      <c r="S66" s="165">
        <v>35</v>
      </c>
      <c r="T66" s="165">
        <f t="shared" si="0"/>
        <v>275</v>
      </c>
      <c r="U66" s="165">
        <f t="shared" ref="U66:U72" si="14">151+T66</f>
        <v>426</v>
      </c>
      <c r="V66" s="165">
        <f t="shared" si="2"/>
        <v>151</v>
      </c>
      <c r="W66" s="116">
        <f t="shared" si="3"/>
        <v>439</v>
      </c>
      <c r="X66" s="165">
        <v>100</v>
      </c>
      <c r="Y66" s="165">
        <v>37</v>
      </c>
      <c r="Z66" s="165">
        <v>65</v>
      </c>
      <c r="AA66" s="165">
        <v>13</v>
      </c>
      <c r="AB66" s="167" t="s">
        <v>13</v>
      </c>
      <c r="AC66" s="217">
        <v>15</v>
      </c>
      <c r="AD66" s="233">
        <f t="shared" si="12"/>
        <v>324</v>
      </c>
      <c r="AE66" s="227">
        <f t="shared" si="4"/>
        <v>5.2958982037499993</v>
      </c>
      <c r="AF66" s="227">
        <f t="shared" si="8"/>
        <v>9.4035123974484005</v>
      </c>
      <c r="AG66" s="228">
        <f t="shared" si="9"/>
        <v>14.6994106011984</v>
      </c>
      <c r="AH66" s="170">
        <f t="shared" si="5"/>
        <v>1.7494784999999999</v>
      </c>
      <c r="AI66" s="170">
        <f t="shared" si="1"/>
        <v>1.484896875</v>
      </c>
      <c r="AJ66" s="229">
        <f t="shared" si="6"/>
        <v>0.26458162499999993</v>
      </c>
      <c r="AK66" s="171">
        <f t="shared" si="7"/>
        <v>2.0759920958700002</v>
      </c>
      <c r="AM66" s="223"/>
      <c r="AN66" s="223"/>
    </row>
    <row r="67" spans="1:40" s="230" customFormat="1" ht="19.5" thickBot="1">
      <c r="A67" s="231"/>
      <c r="B67" s="174"/>
      <c r="C67" s="115"/>
      <c r="D67" s="159"/>
      <c r="E67" s="160"/>
      <c r="F67" s="160"/>
      <c r="G67" s="160"/>
      <c r="H67" s="161"/>
      <c r="I67" s="161"/>
      <c r="J67" s="173"/>
      <c r="K67" s="172"/>
      <c r="L67" s="172"/>
      <c r="M67" s="163"/>
      <c r="N67" s="172"/>
      <c r="O67" s="172"/>
      <c r="P67" s="232" t="s">
        <v>215</v>
      </c>
      <c r="Q67" s="165" t="s">
        <v>116</v>
      </c>
      <c r="R67" s="165">
        <v>90</v>
      </c>
      <c r="S67" s="165">
        <v>40</v>
      </c>
      <c r="T67" s="165">
        <f t="shared" si="0"/>
        <v>275</v>
      </c>
      <c r="U67" s="165">
        <f t="shared" si="14"/>
        <v>426</v>
      </c>
      <c r="V67" s="165">
        <f t="shared" si="2"/>
        <v>151</v>
      </c>
      <c r="W67" s="116">
        <f t="shared" si="3"/>
        <v>439</v>
      </c>
      <c r="X67" s="165">
        <v>100</v>
      </c>
      <c r="Y67" s="165">
        <v>37</v>
      </c>
      <c r="Z67" s="165">
        <v>65</v>
      </c>
      <c r="AA67" s="165">
        <v>13</v>
      </c>
      <c r="AB67" s="167" t="s">
        <v>13</v>
      </c>
      <c r="AC67" s="225">
        <v>15</v>
      </c>
      <c r="AD67" s="233">
        <f t="shared" si="12"/>
        <v>324</v>
      </c>
      <c r="AE67" s="227">
        <f t="shared" si="4"/>
        <v>5.9314059881999999</v>
      </c>
      <c r="AF67" s="227">
        <f t="shared" si="8"/>
        <v>9.4335545836223993</v>
      </c>
      <c r="AG67" s="228">
        <f t="shared" si="9"/>
        <v>15.364960571822399</v>
      </c>
      <c r="AH67" s="170">
        <f t="shared" si="5"/>
        <v>1.7494784999999999</v>
      </c>
      <c r="AI67" s="170">
        <f t="shared" si="1"/>
        <v>1.4039025000000001</v>
      </c>
      <c r="AJ67" s="229">
        <f t="shared" si="6"/>
        <v>0.34557599999999988</v>
      </c>
      <c r="AK67" s="171">
        <f t="shared" si="7"/>
        <v>2.7114998803199999</v>
      </c>
      <c r="AM67" s="223"/>
      <c r="AN67" s="223"/>
    </row>
    <row r="68" spans="1:40" s="230" customFormat="1" ht="18.75">
      <c r="A68" s="231"/>
      <c r="B68" s="174"/>
      <c r="C68" s="115"/>
      <c r="D68" s="159"/>
      <c r="E68" s="160"/>
      <c r="F68" s="160"/>
      <c r="G68" s="160"/>
      <c r="H68" s="161"/>
      <c r="I68" s="161"/>
      <c r="J68" s="173"/>
      <c r="K68" s="172"/>
      <c r="L68" s="172"/>
      <c r="M68" s="163"/>
      <c r="N68" s="172"/>
      <c r="O68" s="172"/>
      <c r="P68" s="232" t="s">
        <v>64</v>
      </c>
      <c r="Q68" s="165" t="s">
        <v>115</v>
      </c>
      <c r="R68" s="165">
        <v>90</v>
      </c>
      <c r="S68" s="165">
        <v>45</v>
      </c>
      <c r="T68" s="165">
        <f t="shared" si="0"/>
        <v>275</v>
      </c>
      <c r="U68" s="165">
        <f>151+T68</f>
        <v>426</v>
      </c>
      <c r="V68" s="165">
        <f t="shared" si="2"/>
        <v>151</v>
      </c>
      <c r="W68" s="116">
        <f t="shared" si="3"/>
        <v>439</v>
      </c>
      <c r="X68" s="165">
        <v>100</v>
      </c>
      <c r="Y68" s="165">
        <v>37</v>
      </c>
      <c r="Z68" s="165">
        <v>65</v>
      </c>
      <c r="AA68" s="165">
        <v>13</v>
      </c>
      <c r="AB68" s="167" t="s">
        <v>13</v>
      </c>
      <c r="AC68" s="217">
        <v>15</v>
      </c>
      <c r="AD68" s="233">
        <f t="shared" si="12"/>
        <v>324</v>
      </c>
      <c r="AE68" s="227">
        <f t="shared" si="4"/>
        <v>6.6516481439099993</v>
      </c>
      <c r="AF68" s="227">
        <f t="shared" si="8"/>
        <v>9.4676023946196004</v>
      </c>
      <c r="AG68" s="228">
        <f t="shared" si="9"/>
        <v>16.119250538529599</v>
      </c>
      <c r="AH68" s="170">
        <f t="shared" si="5"/>
        <v>1.7494784999999999</v>
      </c>
      <c r="AI68" s="170">
        <f t="shared" ref="AI68:AI99" si="15">AH68-(((3.1416*S68*S68)/4)*T68*0.000001)</f>
        <v>1.3121088749999998</v>
      </c>
      <c r="AJ68" s="229">
        <f t="shared" si="6"/>
        <v>0.4373696250000001</v>
      </c>
      <c r="AK68" s="171">
        <f t="shared" si="7"/>
        <v>3.4317420360299997</v>
      </c>
      <c r="AM68" s="223"/>
      <c r="AN68" s="223"/>
    </row>
    <row r="69" spans="1:40" s="230" customFormat="1" ht="19.5" thickBot="1">
      <c r="A69" s="231"/>
      <c r="B69" s="174"/>
      <c r="C69" s="115"/>
      <c r="D69" s="159"/>
      <c r="E69" s="160"/>
      <c r="F69" s="160"/>
      <c r="G69" s="160"/>
      <c r="H69" s="161"/>
      <c r="I69" s="161"/>
      <c r="J69" s="173"/>
      <c r="K69" s="172"/>
      <c r="L69" s="172"/>
      <c r="M69" s="163"/>
      <c r="N69" s="172"/>
      <c r="O69" s="172"/>
      <c r="P69" s="232" t="s">
        <v>65</v>
      </c>
      <c r="Q69" s="165" t="s">
        <v>114</v>
      </c>
      <c r="R69" s="165">
        <v>90</v>
      </c>
      <c r="S69" s="165">
        <v>50</v>
      </c>
      <c r="T69" s="165">
        <f t="shared" si="0"/>
        <v>275</v>
      </c>
      <c r="U69" s="165">
        <f t="shared" si="14"/>
        <v>426</v>
      </c>
      <c r="V69" s="165">
        <f t="shared" si="2"/>
        <v>151</v>
      </c>
      <c r="W69" s="116">
        <f t="shared" si="3"/>
        <v>439</v>
      </c>
      <c r="X69" s="165">
        <v>100</v>
      </c>
      <c r="Y69" s="165">
        <v>37</v>
      </c>
      <c r="Z69" s="165">
        <v>65</v>
      </c>
      <c r="AA69" s="165">
        <v>13</v>
      </c>
      <c r="AB69" s="167" t="s">
        <v>13</v>
      </c>
      <c r="AC69" s="225">
        <v>15</v>
      </c>
      <c r="AD69" s="233">
        <f t="shared" si="12"/>
        <v>324</v>
      </c>
      <c r="AE69" s="227">
        <f t="shared" si="4"/>
        <v>7.4566246708799993</v>
      </c>
      <c r="AF69" s="227">
        <f t="shared" si="8"/>
        <v>9.5056558304399985</v>
      </c>
      <c r="AG69" s="228">
        <f t="shared" si="9"/>
        <v>16.962280501319999</v>
      </c>
      <c r="AH69" s="170">
        <f t="shared" si="5"/>
        <v>1.7494784999999999</v>
      </c>
      <c r="AI69" s="170">
        <f t="shared" si="15"/>
        <v>1.209516</v>
      </c>
      <c r="AJ69" s="229">
        <f t="shared" si="6"/>
        <v>0.5399624999999999</v>
      </c>
      <c r="AK69" s="171">
        <f t="shared" si="7"/>
        <v>4.2367185629999993</v>
      </c>
      <c r="AM69" s="223"/>
      <c r="AN69" s="223"/>
    </row>
    <row r="70" spans="1:40" s="230" customFormat="1" ht="18.75">
      <c r="A70" s="231"/>
      <c r="B70" s="174"/>
      <c r="C70" s="115"/>
      <c r="D70" s="159"/>
      <c r="E70" s="160"/>
      <c r="F70" s="160"/>
      <c r="G70" s="160"/>
      <c r="H70" s="161"/>
      <c r="I70" s="161"/>
      <c r="J70" s="173"/>
      <c r="K70" s="172"/>
      <c r="L70" s="172"/>
      <c r="M70" s="163"/>
      <c r="N70" s="172"/>
      <c r="O70" s="172"/>
      <c r="P70" s="232" t="s">
        <v>213</v>
      </c>
      <c r="Q70" s="165" t="s">
        <v>145</v>
      </c>
      <c r="R70" s="165">
        <v>90</v>
      </c>
      <c r="S70" s="165">
        <v>55</v>
      </c>
      <c r="T70" s="165">
        <f t="shared" si="0"/>
        <v>275</v>
      </c>
      <c r="U70" s="165">
        <f t="shared" si="14"/>
        <v>426</v>
      </c>
      <c r="V70" s="165">
        <f t="shared" si="2"/>
        <v>151</v>
      </c>
      <c r="W70" s="116">
        <f t="shared" si="3"/>
        <v>439</v>
      </c>
      <c r="X70" s="165">
        <v>100</v>
      </c>
      <c r="Y70" s="165">
        <v>37</v>
      </c>
      <c r="Z70" s="165">
        <v>65</v>
      </c>
      <c r="AA70" s="165">
        <v>13</v>
      </c>
      <c r="AB70" s="167" t="s">
        <v>13</v>
      </c>
      <c r="AC70" s="217">
        <v>15</v>
      </c>
      <c r="AD70" s="233">
        <f t="shared" si="12"/>
        <v>324</v>
      </c>
      <c r="AE70" s="227">
        <f t="shared" si="4"/>
        <v>8.3463355691099999</v>
      </c>
      <c r="AF70" s="227">
        <f t="shared" si="8"/>
        <v>9.5477148910835989</v>
      </c>
      <c r="AG70" s="228">
        <f t="shared" si="9"/>
        <v>17.894050460193597</v>
      </c>
      <c r="AH70" s="170">
        <f t="shared" si="5"/>
        <v>1.7494784999999999</v>
      </c>
      <c r="AI70" s="170">
        <f t="shared" si="15"/>
        <v>1.096123875</v>
      </c>
      <c r="AJ70" s="229">
        <f t="shared" si="6"/>
        <v>0.65335462499999997</v>
      </c>
      <c r="AK70" s="171">
        <f t="shared" si="7"/>
        <v>5.1264294612299999</v>
      </c>
      <c r="AM70" s="223"/>
      <c r="AN70" s="223"/>
    </row>
    <row r="71" spans="1:40" s="230" customFormat="1" ht="19.5" thickBot="1">
      <c r="B71" s="175"/>
      <c r="C71" s="115"/>
      <c r="D71" s="159"/>
      <c r="E71" s="160"/>
      <c r="F71" s="160"/>
      <c r="G71" s="160"/>
      <c r="H71" s="161"/>
      <c r="I71" s="161"/>
      <c r="J71" s="173"/>
      <c r="K71" s="172"/>
      <c r="L71" s="172"/>
      <c r="M71" s="163"/>
      <c r="N71" s="172"/>
      <c r="O71" s="172"/>
      <c r="P71" s="232" t="s">
        <v>66</v>
      </c>
      <c r="Q71" s="165" t="s">
        <v>113</v>
      </c>
      <c r="R71" s="165">
        <v>90</v>
      </c>
      <c r="S71" s="165">
        <v>60</v>
      </c>
      <c r="T71" s="165">
        <f t="shared" si="0"/>
        <v>275</v>
      </c>
      <c r="U71" s="165">
        <f t="shared" si="14"/>
        <v>426</v>
      </c>
      <c r="V71" s="165">
        <f t="shared" si="2"/>
        <v>151</v>
      </c>
      <c r="W71" s="116">
        <f t="shared" si="3"/>
        <v>439</v>
      </c>
      <c r="X71" s="165">
        <v>100</v>
      </c>
      <c r="Y71" s="165">
        <v>37</v>
      </c>
      <c r="Z71" s="165">
        <v>65</v>
      </c>
      <c r="AA71" s="165">
        <v>13</v>
      </c>
      <c r="AB71" s="167" t="s">
        <v>13</v>
      </c>
      <c r="AC71" s="225">
        <v>15</v>
      </c>
      <c r="AD71" s="233">
        <f t="shared" si="12"/>
        <v>324</v>
      </c>
      <c r="AE71" s="227">
        <f t="shared" si="4"/>
        <v>9.3207808385999993</v>
      </c>
      <c r="AF71" s="227">
        <f t="shared" si="8"/>
        <v>9.5937795765503999</v>
      </c>
      <c r="AG71" s="228">
        <f t="shared" si="9"/>
        <v>18.914560415150397</v>
      </c>
      <c r="AH71" s="170">
        <f t="shared" si="5"/>
        <v>1.7494784999999999</v>
      </c>
      <c r="AI71" s="170">
        <f t="shared" si="15"/>
        <v>0.97193249999999998</v>
      </c>
      <c r="AJ71" s="229">
        <f t="shared" si="6"/>
        <v>0.77754599999999996</v>
      </c>
      <c r="AK71" s="171">
        <f t="shared" si="7"/>
        <v>6.1008747307199993</v>
      </c>
      <c r="AM71" s="223"/>
      <c r="AN71" s="223"/>
    </row>
    <row r="72" spans="1:40" s="230" customFormat="1" ht="18.75">
      <c r="B72" s="175"/>
      <c r="C72" s="115"/>
      <c r="D72" s="159"/>
      <c r="E72" s="160"/>
      <c r="F72" s="160"/>
      <c r="G72" s="160"/>
      <c r="H72" s="161"/>
      <c r="I72" s="161"/>
      <c r="J72" s="173"/>
      <c r="K72" s="172"/>
      <c r="L72" s="172"/>
      <c r="M72" s="163"/>
      <c r="N72" s="172"/>
      <c r="O72" s="172"/>
      <c r="P72" s="224" t="s">
        <v>214</v>
      </c>
      <c r="Q72" s="165" t="s">
        <v>112</v>
      </c>
      <c r="R72" s="165">
        <v>90</v>
      </c>
      <c r="S72" s="165">
        <v>70</v>
      </c>
      <c r="T72" s="116">
        <f t="shared" si="0"/>
        <v>275</v>
      </c>
      <c r="U72" s="116">
        <f t="shared" si="14"/>
        <v>426</v>
      </c>
      <c r="V72" s="116">
        <f t="shared" si="2"/>
        <v>151</v>
      </c>
      <c r="W72" s="116">
        <f t="shared" si="3"/>
        <v>439</v>
      </c>
      <c r="X72" s="116">
        <v>100</v>
      </c>
      <c r="Y72" s="116">
        <v>37</v>
      </c>
      <c r="Z72" s="116">
        <v>65</v>
      </c>
      <c r="AA72" s="116">
        <v>13</v>
      </c>
      <c r="AB72" s="155" t="s">
        <v>13</v>
      </c>
      <c r="AC72" s="217">
        <v>15</v>
      </c>
      <c r="AD72" s="226">
        <f t="shared" si="12"/>
        <v>324</v>
      </c>
      <c r="AE72" s="227">
        <f t="shared" si="4"/>
        <v>11.523874491359999</v>
      </c>
      <c r="AF72" s="227">
        <f t="shared" si="8"/>
        <v>9.6979258219536</v>
      </c>
      <c r="AG72" s="228">
        <f t="shared" si="9"/>
        <v>21.221800313313601</v>
      </c>
      <c r="AH72" s="170">
        <f t="shared" si="5"/>
        <v>1.7494784999999999</v>
      </c>
      <c r="AI72" s="170">
        <f t="shared" si="15"/>
        <v>0.69115199999999999</v>
      </c>
      <c r="AJ72" s="229">
        <f t="shared" si="6"/>
        <v>1.0583264999999999</v>
      </c>
      <c r="AK72" s="171">
        <f t="shared" si="7"/>
        <v>8.3039683834800009</v>
      </c>
      <c r="AM72" s="223"/>
      <c r="AN72" s="223"/>
    </row>
    <row r="73" spans="1:40" s="230" customFormat="1" ht="19.5" thickBot="1">
      <c r="B73" s="175"/>
      <c r="C73" s="115"/>
      <c r="D73" s="159"/>
      <c r="E73" s="160"/>
      <c r="F73" s="160"/>
      <c r="G73" s="160"/>
      <c r="H73" s="161"/>
      <c r="I73" s="161"/>
      <c r="J73" s="173"/>
      <c r="K73" s="172"/>
      <c r="L73" s="172"/>
      <c r="M73" s="163"/>
      <c r="N73" s="172"/>
      <c r="O73" s="172"/>
      <c r="P73" s="224" t="s">
        <v>212</v>
      </c>
      <c r="Q73" s="165" t="s">
        <v>146</v>
      </c>
      <c r="R73" s="165">
        <v>100</v>
      </c>
      <c r="S73" s="165">
        <v>40</v>
      </c>
      <c r="T73" s="116">
        <f t="shared" ref="T73:T104" si="16">$C$24</f>
        <v>275</v>
      </c>
      <c r="U73" s="116">
        <f t="shared" ref="U73:U79" si="17">166+T73</f>
        <v>441</v>
      </c>
      <c r="V73" s="116">
        <f t="shared" si="2"/>
        <v>166</v>
      </c>
      <c r="W73" s="116">
        <f t="shared" si="3"/>
        <v>455</v>
      </c>
      <c r="X73" s="116">
        <v>115</v>
      </c>
      <c r="Y73" s="116">
        <v>32</v>
      </c>
      <c r="Z73" s="116">
        <v>67</v>
      </c>
      <c r="AA73" s="116">
        <v>14</v>
      </c>
      <c r="AB73" s="155" t="s">
        <v>13</v>
      </c>
      <c r="AC73" s="225">
        <v>15</v>
      </c>
      <c r="AD73" s="226">
        <f>67+T73</f>
        <v>342</v>
      </c>
      <c r="AE73" s="227">
        <f t="shared" si="4"/>
        <v>8.1768668265899951</v>
      </c>
      <c r="AF73" s="227">
        <f t="shared" si="8"/>
        <v>13.666883771771998</v>
      </c>
      <c r="AG73" s="228">
        <f t="shared" si="9"/>
        <v>21.843750598361993</v>
      </c>
      <c r="AH73" s="170">
        <f t="shared" si="5"/>
        <v>2.15985</v>
      </c>
      <c r="AI73" s="170">
        <f t="shared" si="15"/>
        <v>1.8142740000000002</v>
      </c>
      <c r="AJ73" s="229">
        <f t="shared" si="6"/>
        <v>0.34557599999999988</v>
      </c>
      <c r="AK73" s="171">
        <f t="shared" si="7"/>
        <v>2.7114998803199999</v>
      </c>
      <c r="AM73" s="223"/>
      <c r="AN73" s="223"/>
    </row>
    <row r="74" spans="1:40" s="230" customFormat="1" ht="18.75">
      <c r="B74" s="175"/>
      <c r="C74" s="115"/>
      <c r="D74" s="159"/>
      <c r="E74" s="160"/>
      <c r="F74" s="160"/>
      <c r="G74" s="160"/>
      <c r="H74" s="161"/>
      <c r="I74" s="161"/>
      <c r="J74" s="173"/>
      <c r="K74" s="172"/>
      <c r="L74" s="172"/>
      <c r="M74" s="163"/>
      <c r="N74" s="172"/>
      <c r="O74" s="172"/>
      <c r="P74" s="224" t="s">
        <v>211</v>
      </c>
      <c r="Q74" s="165" t="s">
        <v>147</v>
      </c>
      <c r="R74" s="165">
        <v>100</v>
      </c>
      <c r="S74" s="165">
        <v>45</v>
      </c>
      <c r="T74" s="116">
        <f t="shared" si="16"/>
        <v>275</v>
      </c>
      <c r="U74" s="116">
        <f t="shared" si="17"/>
        <v>441</v>
      </c>
      <c r="V74" s="116">
        <f t="shared" si="2"/>
        <v>166</v>
      </c>
      <c r="W74" s="116">
        <f t="shared" si="3"/>
        <v>455</v>
      </c>
      <c r="X74" s="116">
        <v>115</v>
      </c>
      <c r="Y74" s="116">
        <v>32</v>
      </c>
      <c r="Z74" s="116">
        <v>67</v>
      </c>
      <c r="AA74" s="116">
        <v>14</v>
      </c>
      <c r="AB74" s="155" t="s">
        <v>13</v>
      </c>
      <c r="AC74" s="217">
        <v>15</v>
      </c>
      <c r="AD74" s="226">
        <f>67+T74</f>
        <v>342</v>
      </c>
      <c r="AE74" s="227">
        <f t="shared" si="4"/>
        <v>8.8971089822999954</v>
      </c>
      <c r="AF74" s="227">
        <f t="shared" si="8"/>
        <v>13.703550645153598</v>
      </c>
      <c r="AG74" s="228">
        <f t="shared" si="9"/>
        <v>22.600659627453595</v>
      </c>
      <c r="AH74" s="170">
        <f t="shared" si="5"/>
        <v>2.15985</v>
      </c>
      <c r="AI74" s="170">
        <f t="shared" si="15"/>
        <v>1.722480375</v>
      </c>
      <c r="AJ74" s="229">
        <f t="shared" si="6"/>
        <v>0.4373696250000001</v>
      </c>
      <c r="AK74" s="171">
        <f t="shared" si="7"/>
        <v>3.4317420360299997</v>
      </c>
      <c r="AM74" s="223"/>
      <c r="AN74" s="223"/>
    </row>
    <row r="75" spans="1:40" s="230" customFormat="1" ht="19.5" thickBot="1">
      <c r="B75" s="175"/>
      <c r="C75" s="115"/>
      <c r="D75" s="159"/>
      <c r="E75" s="160"/>
      <c r="F75" s="160"/>
      <c r="G75" s="160"/>
      <c r="H75" s="161"/>
      <c r="I75" s="161"/>
      <c r="J75" s="173"/>
      <c r="K75" s="172"/>
      <c r="L75" s="172"/>
      <c r="M75" s="163"/>
      <c r="N75" s="172"/>
      <c r="O75" s="172"/>
      <c r="P75" s="224" t="s">
        <v>67</v>
      </c>
      <c r="Q75" s="165" t="s">
        <v>111</v>
      </c>
      <c r="R75" s="165">
        <v>100</v>
      </c>
      <c r="S75" s="165">
        <v>50</v>
      </c>
      <c r="T75" s="116">
        <f t="shared" si="16"/>
        <v>275</v>
      </c>
      <c r="U75" s="116">
        <f t="shared" si="17"/>
        <v>441</v>
      </c>
      <c r="V75" s="116">
        <f t="shared" si="2"/>
        <v>166</v>
      </c>
      <c r="W75" s="116">
        <f t="shared" si="3"/>
        <v>455</v>
      </c>
      <c r="X75" s="116">
        <v>115</v>
      </c>
      <c r="Y75" s="116">
        <v>42</v>
      </c>
      <c r="Z75" s="116">
        <v>67</v>
      </c>
      <c r="AA75" s="116">
        <v>14</v>
      </c>
      <c r="AB75" s="155" t="s">
        <v>13</v>
      </c>
      <c r="AC75" s="225">
        <v>15</v>
      </c>
      <c r="AD75" s="226">
        <f>57+T75</f>
        <v>332</v>
      </c>
      <c r="AE75" s="227">
        <f t="shared" si="4"/>
        <v>9.7020855092699954</v>
      </c>
      <c r="AF75" s="227">
        <f t="shared" si="8"/>
        <v>13.744531268344799</v>
      </c>
      <c r="AG75" s="228">
        <f t="shared" si="9"/>
        <v>23.446616777614793</v>
      </c>
      <c r="AH75" s="170">
        <f t="shared" si="5"/>
        <v>2.15985</v>
      </c>
      <c r="AI75" s="170">
        <f t="shared" si="15"/>
        <v>1.6198875000000001</v>
      </c>
      <c r="AJ75" s="229">
        <f t="shared" si="6"/>
        <v>0.5399624999999999</v>
      </c>
      <c r="AK75" s="171">
        <f t="shared" si="7"/>
        <v>4.2367185629999993</v>
      </c>
      <c r="AM75" s="223"/>
      <c r="AN75" s="223"/>
    </row>
    <row r="76" spans="1:40" s="230" customFormat="1" ht="18.75">
      <c r="B76" s="175"/>
      <c r="C76" s="115"/>
      <c r="D76" s="159"/>
      <c r="E76" s="160"/>
      <c r="F76" s="160"/>
      <c r="G76" s="160"/>
      <c r="H76" s="161"/>
      <c r="I76" s="161"/>
      <c r="J76" s="173"/>
      <c r="K76" s="172"/>
      <c r="L76" s="172"/>
      <c r="M76" s="163"/>
      <c r="N76" s="172"/>
      <c r="O76" s="172"/>
      <c r="P76" s="224" t="s">
        <v>210</v>
      </c>
      <c r="Q76" s="165" t="s">
        <v>148</v>
      </c>
      <c r="R76" s="165">
        <v>100</v>
      </c>
      <c r="S76" s="165">
        <v>55</v>
      </c>
      <c r="T76" s="116">
        <f t="shared" si="16"/>
        <v>275</v>
      </c>
      <c r="U76" s="116">
        <f t="shared" si="17"/>
        <v>441</v>
      </c>
      <c r="V76" s="116">
        <f t="shared" si="2"/>
        <v>166</v>
      </c>
      <c r="W76" s="116">
        <f t="shared" si="3"/>
        <v>455</v>
      </c>
      <c r="X76" s="116">
        <v>115</v>
      </c>
      <c r="Y76" s="116">
        <v>42</v>
      </c>
      <c r="Z76" s="116">
        <v>67</v>
      </c>
      <c r="AA76" s="116">
        <v>14</v>
      </c>
      <c r="AB76" s="155" t="s">
        <v>13</v>
      </c>
      <c r="AC76" s="217">
        <v>15</v>
      </c>
      <c r="AD76" s="226">
        <f>57+T76</f>
        <v>332</v>
      </c>
      <c r="AE76" s="227">
        <f t="shared" si="4"/>
        <v>10.591796407499995</v>
      </c>
      <c r="AF76" s="227">
        <f t="shared" si="8"/>
        <v>13.789825641345598</v>
      </c>
      <c r="AG76" s="228">
        <f t="shared" si="9"/>
        <v>24.381622048845593</v>
      </c>
      <c r="AH76" s="170">
        <f t="shared" si="5"/>
        <v>2.15985</v>
      </c>
      <c r="AI76" s="170">
        <f t="shared" si="15"/>
        <v>1.5064953750000001</v>
      </c>
      <c r="AJ76" s="229">
        <f t="shared" si="6"/>
        <v>0.65335462499999997</v>
      </c>
      <c r="AK76" s="171">
        <f t="shared" si="7"/>
        <v>5.1264294612299999</v>
      </c>
      <c r="AM76" s="223"/>
      <c r="AN76" s="223"/>
    </row>
    <row r="77" spans="1:40" s="230" customFormat="1" ht="19.5" thickBot="1">
      <c r="B77" s="175"/>
      <c r="C77" s="115"/>
      <c r="D77" s="159"/>
      <c r="E77" s="160"/>
      <c r="F77" s="160"/>
      <c r="G77" s="160"/>
      <c r="H77" s="161"/>
      <c r="I77" s="161"/>
      <c r="J77" s="173"/>
      <c r="K77" s="172"/>
      <c r="L77" s="172"/>
      <c r="M77" s="163"/>
      <c r="N77" s="172"/>
      <c r="O77" s="172"/>
      <c r="P77" s="224" t="s">
        <v>68</v>
      </c>
      <c r="Q77" s="165" t="s">
        <v>110</v>
      </c>
      <c r="R77" s="165">
        <v>100</v>
      </c>
      <c r="S77" s="165">
        <v>60</v>
      </c>
      <c r="T77" s="116">
        <f t="shared" si="16"/>
        <v>275</v>
      </c>
      <c r="U77" s="116">
        <f t="shared" si="17"/>
        <v>441</v>
      </c>
      <c r="V77" s="116">
        <f t="shared" si="2"/>
        <v>166</v>
      </c>
      <c r="W77" s="116">
        <f t="shared" si="3"/>
        <v>455</v>
      </c>
      <c r="X77" s="116">
        <v>115</v>
      </c>
      <c r="Y77" s="116">
        <v>42</v>
      </c>
      <c r="Z77" s="116">
        <v>67</v>
      </c>
      <c r="AA77" s="116">
        <v>14</v>
      </c>
      <c r="AB77" s="155" t="s">
        <v>13</v>
      </c>
      <c r="AC77" s="225">
        <v>15</v>
      </c>
      <c r="AD77" s="226">
        <f>57+T77</f>
        <v>332</v>
      </c>
      <c r="AE77" s="227">
        <f t="shared" si="4"/>
        <v>11.566241676989996</v>
      </c>
      <c r="AF77" s="227">
        <f t="shared" si="8"/>
        <v>13.839433764155997</v>
      </c>
      <c r="AG77" s="228">
        <f t="shared" si="9"/>
        <v>25.405675441145995</v>
      </c>
      <c r="AH77" s="170">
        <f t="shared" si="5"/>
        <v>2.15985</v>
      </c>
      <c r="AI77" s="170">
        <f t="shared" si="15"/>
        <v>1.382304</v>
      </c>
      <c r="AJ77" s="229">
        <f t="shared" si="6"/>
        <v>0.77754600000000007</v>
      </c>
      <c r="AK77" s="171">
        <f t="shared" si="7"/>
        <v>6.1008747307199993</v>
      </c>
      <c r="AM77" s="223"/>
      <c r="AN77" s="223"/>
    </row>
    <row r="78" spans="1:40" s="230" customFormat="1" ht="18.75">
      <c r="B78" s="175"/>
      <c r="C78" s="115"/>
      <c r="D78" s="159"/>
      <c r="E78" s="160"/>
      <c r="F78" s="160"/>
      <c r="G78" s="160"/>
      <c r="H78" s="161"/>
      <c r="I78" s="161"/>
      <c r="J78" s="173"/>
      <c r="K78" s="172"/>
      <c r="L78" s="172"/>
      <c r="M78" s="163"/>
      <c r="N78" s="172"/>
      <c r="O78" s="172"/>
      <c r="P78" s="224" t="s">
        <v>69</v>
      </c>
      <c r="Q78" s="165" t="s">
        <v>109</v>
      </c>
      <c r="R78" s="165">
        <v>100</v>
      </c>
      <c r="S78" s="165">
        <v>70</v>
      </c>
      <c r="T78" s="116">
        <f t="shared" si="16"/>
        <v>275</v>
      </c>
      <c r="U78" s="116">
        <f t="shared" si="17"/>
        <v>441</v>
      </c>
      <c r="V78" s="116">
        <f t="shared" si="2"/>
        <v>166</v>
      </c>
      <c r="W78" s="116">
        <f t="shared" si="3"/>
        <v>455</v>
      </c>
      <c r="X78" s="116">
        <v>115</v>
      </c>
      <c r="Y78" s="116">
        <v>42</v>
      </c>
      <c r="Z78" s="116">
        <v>67</v>
      </c>
      <c r="AA78" s="116">
        <v>14</v>
      </c>
      <c r="AB78" s="155" t="s">
        <v>13</v>
      </c>
      <c r="AC78" s="217">
        <v>15</v>
      </c>
      <c r="AD78" s="226">
        <f>57+T78</f>
        <v>332</v>
      </c>
      <c r="AE78" s="227">
        <f t="shared" si="4"/>
        <v>13.769335329749996</v>
      </c>
      <c r="AF78" s="227">
        <f t="shared" si="8"/>
        <v>13.951591259205598</v>
      </c>
      <c r="AG78" s="228">
        <f t="shared" si="9"/>
        <v>27.720926588955592</v>
      </c>
      <c r="AH78" s="170">
        <f t="shared" si="5"/>
        <v>2.15985</v>
      </c>
      <c r="AI78" s="170">
        <f t="shared" si="15"/>
        <v>1.1015235000000001</v>
      </c>
      <c r="AJ78" s="229">
        <f t="shared" si="6"/>
        <v>1.0583264999999999</v>
      </c>
      <c r="AK78" s="171">
        <f t="shared" si="7"/>
        <v>8.3039683834800009</v>
      </c>
      <c r="AM78" s="223"/>
      <c r="AN78" s="223"/>
    </row>
    <row r="79" spans="1:40" s="230" customFormat="1" ht="18.75">
      <c r="B79" s="175"/>
      <c r="C79" s="115"/>
      <c r="D79" s="159"/>
      <c r="E79" s="160"/>
      <c r="F79" s="160"/>
      <c r="G79" s="160"/>
      <c r="H79" s="161"/>
      <c r="I79" s="161"/>
      <c r="J79" s="173"/>
      <c r="K79" s="172"/>
      <c r="L79" s="172"/>
      <c r="M79" s="163"/>
      <c r="N79" s="172"/>
      <c r="O79" s="172"/>
      <c r="P79" s="224" t="s">
        <v>209</v>
      </c>
      <c r="Q79" s="165" t="s">
        <v>149</v>
      </c>
      <c r="R79" s="165">
        <v>100</v>
      </c>
      <c r="S79" s="165">
        <v>80</v>
      </c>
      <c r="T79" s="116">
        <f t="shared" si="16"/>
        <v>275</v>
      </c>
      <c r="U79" s="116">
        <f t="shared" si="17"/>
        <v>441</v>
      </c>
      <c r="V79" s="116">
        <f t="shared" si="2"/>
        <v>166</v>
      </c>
      <c r="W79" s="116">
        <f t="shared" si="3"/>
        <v>455</v>
      </c>
      <c r="X79" s="116">
        <v>115</v>
      </c>
      <c r="Y79" s="116">
        <v>42</v>
      </c>
      <c r="Z79" s="116">
        <v>67</v>
      </c>
      <c r="AA79" s="116">
        <v>14</v>
      </c>
      <c r="AB79" s="155" t="s">
        <v>13</v>
      </c>
      <c r="AC79" s="225">
        <v>15</v>
      </c>
      <c r="AD79" s="226">
        <f>57+T79</f>
        <v>332</v>
      </c>
      <c r="AE79" s="227">
        <f t="shared" si="4"/>
        <v>16.311366467549995</v>
      </c>
      <c r="AF79" s="227">
        <f t="shared" si="8"/>
        <v>14.081003753493599</v>
      </c>
      <c r="AG79" s="228">
        <f t="shared" si="9"/>
        <v>30.392370221043592</v>
      </c>
      <c r="AH79" s="170">
        <f t="shared" si="5"/>
        <v>2.15985</v>
      </c>
      <c r="AI79" s="170">
        <f t="shared" si="15"/>
        <v>0.77754600000000007</v>
      </c>
      <c r="AJ79" s="229">
        <f t="shared" si="6"/>
        <v>1.382304</v>
      </c>
      <c r="AK79" s="171">
        <f t="shared" si="7"/>
        <v>10.84599952128</v>
      </c>
      <c r="AM79" s="223"/>
      <c r="AN79" s="223"/>
    </row>
    <row r="80" spans="1:40" s="230" customFormat="1" ht="18.75">
      <c r="B80" s="175"/>
      <c r="C80" s="115"/>
      <c r="D80" s="159"/>
      <c r="E80" s="160"/>
      <c r="F80" s="160"/>
      <c r="G80" s="160"/>
      <c r="H80" s="161"/>
      <c r="I80" s="176"/>
      <c r="J80" s="173"/>
      <c r="K80" s="172"/>
      <c r="L80" s="177"/>
      <c r="M80" s="163"/>
      <c r="N80" s="177"/>
      <c r="O80" s="177"/>
      <c r="P80" s="224" t="s">
        <v>233</v>
      </c>
      <c r="Q80" s="165" t="s">
        <v>150</v>
      </c>
      <c r="R80" s="165">
        <v>110</v>
      </c>
      <c r="S80" s="165">
        <v>40</v>
      </c>
      <c r="T80" s="116">
        <f t="shared" si="16"/>
        <v>275</v>
      </c>
      <c r="U80" s="116">
        <f t="shared" ref="U80:U86" si="18">190+T80</f>
        <v>465</v>
      </c>
      <c r="V80" s="116">
        <f t="shared" si="2"/>
        <v>190</v>
      </c>
      <c r="W80" s="116">
        <f t="shared" si="3"/>
        <v>480</v>
      </c>
      <c r="X80" s="116">
        <v>125</v>
      </c>
      <c r="Y80" s="116">
        <v>45</v>
      </c>
      <c r="Z80" s="116">
        <v>82</v>
      </c>
      <c r="AA80" s="116">
        <v>15</v>
      </c>
      <c r="AB80" s="155" t="s">
        <v>14</v>
      </c>
      <c r="AC80" s="225">
        <v>20</v>
      </c>
      <c r="AD80" s="226">
        <f>63+T80</f>
        <v>338</v>
      </c>
      <c r="AE80" s="227">
        <f t="shared" si="4"/>
        <v>8.6852730541499987</v>
      </c>
      <c r="AF80" s="227">
        <f t="shared" si="8"/>
        <v>18.442821060972001</v>
      </c>
      <c r="AG80" s="228">
        <f t="shared" si="9"/>
        <v>27.128094115122</v>
      </c>
      <c r="AH80" s="170">
        <f t="shared" si="5"/>
        <v>2.6134184999999999</v>
      </c>
      <c r="AI80" s="170">
        <f t="shared" si="15"/>
        <v>2.2678425</v>
      </c>
      <c r="AJ80" s="229">
        <f t="shared" si="6"/>
        <v>0.34557599999999988</v>
      </c>
      <c r="AK80" s="171">
        <f t="shared" si="7"/>
        <v>2.7114998803199999</v>
      </c>
      <c r="AM80" s="223"/>
      <c r="AN80" s="223"/>
    </row>
    <row r="81" spans="1:40" s="230" customFormat="1" ht="18.75">
      <c r="B81" s="175"/>
      <c r="C81" s="115"/>
      <c r="D81" s="159"/>
      <c r="E81" s="160"/>
      <c r="F81" s="160"/>
      <c r="G81" s="160"/>
      <c r="H81" s="161"/>
      <c r="I81" s="176"/>
      <c r="J81" s="173"/>
      <c r="K81" s="172"/>
      <c r="L81" s="177"/>
      <c r="M81" s="163"/>
      <c r="N81" s="177"/>
      <c r="O81" s="177"/>
      <c r="P81" s="224" t="s">
        <v>232</v>
      </c>
      <c r="Q81" s="165" t="s">
        <v>151</v>
      </c>
      <c r="R81" s="165">
        <v>110</v>
      </c>
      <c r="S81" s="165">
        <v>45</v>
      </c>
      <c r="T81" s="116">
        <f t="shared" si="16"/>
        <v>275</v>
      </c>
      <c r="U81" s="116">
        <f t="shared" si="18"/>
        <v>465</v>
      </c>
      <c r="V81" s="116">
        <f t="shared" si="2"/>
        <v>190</v>
      </c>
      <c r="W81" s="116">
        <f t="shared" si="3"/>
        <v>480</v>
      </c>
      <c r="X81" s="116">
        <v>125</v>
      </c>
      <c r="Y81" s="116">
        <v>45</v>
      </c>
      <c r="Z81" s="116">
        <v>82</v>
      </c>
      <c r="AA81" s="116">
        <v>15</v>
      </c>
      <c r="AB81" s="155" t="s">
        <v>14</v>
      </c>
      <c r="AC81" s="225">
        <v>20</v>
      </c>
      <c r="AD81" s="226">
        <f t="shared" ref="AD81:AD86" si="19">63+T81</f>
        <v>338</v>
      </c>
      <c r="AE81" s="227">
        <f t="shared" si="4"/>
        <v>9.405515209859999</v>
      </c>
      <c r="AF81" s="227">
        <f t="shared" si="8"/>
        <v>18.482106996737997</v>
      </c>
      <c r="AG81" s="228">
        <f t="shared" si="9"/>
        <v>27.887622206597996</v>
      </c>
      <c r="AH81" s="170">
        <f t="shared" si="5"/>
        <v>2.6134184999999999</v>
      </c>
      <c r="AI81" s="170">
        <f t="shared" si="15"/>
        <v>2.1760488749999998</v>
      </c>
      <c r="AJ81" s="229">
        <f t="shared" si="6"/>
        <v>0.4373696250000001</v>
      </c>
      <c r="AK81" s="171">
        <f t="shared" si="7"/>
        <v>3.4317420360299997</v>
      </c>
      <c r="AM81" s="223"/>
      <c r="AN81" s="223"/>
    </row>
    <row r="82" spans="1:40" s="230" customFormat="1" ht="18.75">
      <c r="B82" s="175"/>
      <c r="C82" s="115"/>
      <c r="D82" s="159"/>
      <c r="E82" s="160"/>
      <c r="F82" s="160"/>
      <c r="G82" s="160"/>
      <c r="H82" s="161"/>
      <c r="I82" s="176"/>
      <c r="J82" s="173"/>
      <c r="K82" s="172"/>
      <c r="L82" s="177"/>
      <c r="M82" s="163"/>
      <c r="N82" s="177"/>
      <c r="O82" s="177"/>
      <c r="P82" s="224" t="s">
        <v>231</v>
      </c>
      <c r="Q82" s="165" t="s">
        <v>152</v>
      </c>
      <c r="R82" s="165">
        <v>110</v>
      </c>
      <c r="S82" s="165">
        <v>50</v>
      </c>
      <c r="T82" s="116">
        <f t="shared" si="16"/>
        <v>275</v>
      </c>
      <c r="U82" s="116">
        <f t="shared" si="18"/>
        <v>465</v>
      </c>
      <c r="V82" s="116">
        <f t="shared" si="2"/>
        <v>190</v>
      </c>
      <c r="W82" s="116">
        <f t="shared" si="3"/>
        <v>480</v>
      </c>
      <c r="X82" s="116">
        <v>125</v>
      </c>
      <c r="Y82" s="116">
        <v>45</v>
      </c>
      <c r="Z82" s="116">
        <v>82</v>
      </c>
      <c r="AA82" s="116">
        <v>15</v>
      </c>
      <c r="AB82" s="155" t="s">
        <v>14</v>
      </c>
      <c r="AC82" s="225">
        <v>20</v>
      </c>
      <c r="AD82" s="226">
        <f t="shared" si="19"/>
        <v>338</v>
      </c>
      <c r="AE82" s="227">
        <f t="shared" si="4"/>
        <v>10.210491736829999</v>
      </c>
      <c r="AF82" s="227">
        <f t="shared" si="8"/>
        <v>18.526014807299997</v>
      </c>
      <c r="AG82" s="228">
        <f t="shared" si="9"/>
        <v>28.736506544129995</v>
      </c>
      <c r="AH82" s="170">
        <f t="shared" si="5"/>
        <v>2.6134184999999999</v>
      </c>
      <c r="AI82" s="170">
        <f t="shared" si="15"/>
        <v>2.0734560000000002</v>
      </c>
      <c r="AJ82" s="229">
        <f t="shared" si="6"/>
        <v>0.53996249999999968</v>
      </c>
      <c r="AK82" s="171">
        <f t="shared" si="7"/>
        <v>4.2367185629999993</v>
      </c>
      <c r="AM82" s="223"/>
      <c r="AN82" s="223"/>
    </row>
    <row r="83" spans="1:40" s="230" customFormat="1" ht="18.75">
      <c r="B83" s="175"/>
      <c r="C83" s="115"/>
      <c r="D83" s="159"/>
      <c r="E83" s="160"/>
      <c r="F83" s="160"/>
      <c r="G83" s="160"/>
      <c r="H83" s="161"/>
      <c r="I83" s="176"/>
      <c r="J83" s="173"/>
      <c r="K83" s="172"/>
      <c r="L83" s="177"/>
      <c r="M83" s="163"/>
      <c r="N83" s="177"/>
      <c r="O83" s="177"/>
      <c r="P83" s="224" t="s">
        <v>230</v>
      </c>
      <c r="Q83" s="165" t="s">
        <v>153</v>
      </c>
      <c r="R83" s="165">
        <v>110</v>
      </c>
      <c r="S83" s="165">
        <v>55</v>
      </c>
      <c r="T83" s="116">
        <f t="shared" si="16"/>
        <v>275</v>
      </c>
      <c r="U83" s="116">
        <f t="shared" si="18"/>
        <v>465</v>
      </c>
      <c r="V83" s="116">
        <f t="shared" si="2"/>
        <v>190</v>
      </c>
      <c r="W83" s="116">
        <f t="shared" si="3"/>
        <v>480</v>
      </c>
      <c r="X83" s="116">
        <v>125</v>
      </c>
      <c r="Y83" s="116">
        <v>45</v>
      </c>
      <c r="Z83" s="116">
        <v>82</v>
      </c>
      <c r="AA83" s="116">
        <v>15</v>
      </c>
      <c r="AB83" s="155" t="s">
        <v>14</v>
      </c>
      <c r="AC83" s="225">
        <v>20</v>
      </c>
      <c r="AD83" s="226">
        <f t="shared" si="19"/>
        <v>338</v>
      </c>
      <c r="AE83" s="227">
        <f t="shared" si="4"/>
        <v>11.100202635059999</v>
      </c>
      <c r="AF83" s="227">
        <f t="shared" si="8"/>
        <v>18.574544492657999</v>
      </c>
      <c r="AG83" s="228">
        <f t="shared" si="9"/>
        <v>29.674747127718</v>
      </c>
      <c r="AH83" s="170">
        <f t="shared" si="5"/>
        <v>2.6134184999999999</v>
      </c>
      <c r="AI83" s="170">
        <f t="shared" si="15"/>
        <v>1.9600638749999999</v>
      </c>
      <c r="AJ83" s="229">
        <f t="shared" si="6"/>
        <v>0.65335462499999997</v>
      </c>
      <c r="AK83" s="171">
        <f t="shared" si="7"/>
        <v>5.1264294612299999</v>
      </c>
      <c r="AM83" s="223"/>
      <c r="AN83" s="223"/>
    </row>
    <row r="84" spans="1:40" s="230" customFormat="1" ht="18.75">
      <c r="B84" s="175"/>
      <c r="C84" s="115"/>
      <c r="D84" s="159"/>
      <c r="E84" s="160"/>
      <c r="F84" s="160"/>
      <c r="G84" s="160"/>
      <c r="H84" s="161"/>
      <c r="I84" s="176"/>
      <c r="J84" s="173"/>
      <c r="K84" s="172"/>
      <c r="L84" s="177"/>
      <c r="M84" s="163"/>
      <c r="N84" s="177"/>
      <c r="O84" s="177"/>
      <c r="P84" s="224" t="s">
        <v>229</v>
      </c>
      <c r="Q84" s="165" t="s">
        <v>154</v>
      </c>
      <c r="R84" s="165">
        <v>110</v>
      </c>
      <c r="S84" s="165">
        <v>60</v>
      </c>
      <c r="T84" s="116">
        <f t="shared" si="16"/>
        <v>275</v>
      </c>
      <c r="U84" s="116">
        <f t="shared" si="18"/>
        <v>465</v>
      </c>
      <c r="V84" s="116">
        <f t="shared" si="2"/>
        <v>190</v>
      </c>
      <c r="W84" s="116">
        <f t="shared" si="3"/>
        <v>480</v>
      </c>
      <c r="X84" s="116">
        <v>125</v>
      </c>
      <c r="Y84" s="116">
        <v>45</v>
      </c>
      <c r="Z84" s="116">
        <v>82</v>
      </c>
      <c r="AA84" s="116">
        <v>15</v>
      </c>
      <c r="AB84" s="155" t="s">
        <v>14</v>
      </c>
      <c r="AC84" s="225">
        <v>20</v>
      </c>
      <c r="AD84" s="226">
        <f t="shared" si="19"/>
        <v>338</v>
      </c>
      <c r="AE84" s="227">
        <f t="shared" si="4"/>
        <v>12.07464790455</v>
      </c>
      <c r="AF84" s="227">
        <f t="shared" si="8"/>
        <v>18.627696052811999</v>
      </c>
      <c r="AG84" s="228">
        <f t="shared" si="9"/>
        <v>30.702343957361997</v>
      </c>
      <c r="AH84" s="170">
        <f t="shared" si="5"/>
        <v>2.6134184999999999</v>
      </c>
      <c r="AI84" s="170">
        <f t="shared" si="15"/>
        <v>1.8358724999999998</v>
      </c>
      <c r="AJ84" s="229">
        <f t="shared" si="6"/>
        <v>0.77754600000000007</v>
      </c>
      <c r="AK84" s="171">
        <f t="shared" si="7"/>
        <v>6.1008747307199993</v>
      </c>
      <c r="AM84" s="223"/>
      <c r="AN84" s="223"/>
    </row>
    <row r="85" spans="1:40" s="230" customFormat="1" ht="18.75">
      <c r="B85" s="175"/>
      <c r="C85" s="115"/>
      <c r="D85" s="159"/>
      <c r="E85" s="160"/>
      <c r="F85" s="160"/>
      <c r="G85" s="160"/>
      <c r="H85" s="161"/>
      <c r="I85" s="176"/>
      <c r="J85" s="173"/>
      <c r="K85" s="172"/>
      <c r="L85" s="177"/>
      <c r="M85" s="163"/>
      <c r="N85" s="177"/>
      <c r="O85" s="177"/>
      <c r="P85" s="224" t="s">
        <v>228</v>
      </c>
      <c r="Q85" s="165" t="s">
        <v>108</v>
      </c>
      <c r="R85" s="165">
        <v>110</v>
      </c>
      <c r="S85" s="165">
        <v>70</v>
      </c>
      <c r="T85" s="116">
        <f t="shared" si="16"/>
        <v>275</v>
      </c>
      <c r="U85" s="116">
        <f t="shared" si="18"/>
        <v>465</v>
      </c>
      <c r="V85" s="116">
        <f t="shared" si="2"/>
        <v>190</v>
      </c>
      <c r="W85" s="116">
        <f t="shared" si="3"/>
        <v>480</v>
      </c>
      <c r="X85" s="116">
        <v>125</v>
      </c>
      <c r="Y85" s="116">
        <v>45</v>
      </c>
      <c r="Z85" s="116">
        <v>82</v>
      </c>
      <c r="AA85" s="116">
        <v>15</v>
      </c>
      <c r="AB85" s="155" t="s">
        <v>14</v>
      </c>
      <c r="AC85" s="225">
        <v>20</v>
      </c>
      <c r="AD85" s="226">
        <f t="shared" si="19"/>
        <v>338</v>
      </c>
      <c r="AE85" s="227">
        <f t="shared" si="4"/>
        <v>14.27774155731</v>
      </c>
      <c r="AF85" s="227">
        <f t="shared" si="8"/>
        <v>18.747864797507997</v>
      </c>
      <c r="AG85" s="228">
        <f t="shared" si="9"/>
        <v>33.025606354817995</v>
      </c>
      <c r="AH85" s="170">
        <f t="shared" si="5"/>
        <v>2.6134184999999999</v>
      </c>
      <c r="AI85" s="170">
        <f t="shared" si="15"/>
        <v>1.5550919999999999</v>
      </c>
      <c r="AJ85" s="229">
        <f t="shared" si="6"/>
        <v>1.0583264999999999</v>
      </c>
      <c r="AK85" s="171">
        <f t="shared" si="7"/>
        <v>8.3039683834800009</v>
      </c>
      <c r="AM85" s="223"/>
      <c r="AN85" s="223"/>
    </row>
    <row r="86" spans="1:40" s="230" customFormat="1" ht="18.75">
      <c r="B86" s="175"/>
      <c r="C86" s="115"/>
      <c r="D86" s="159"/>
      <c r="E86" s="160"/>
      <c r="F86" s="160"/>
      <c r="G86" s="160"/>
      <c r="H86" s="161"/>
      <c r="I86" s="176"/>
      <c r="J86" s="173"/>
      <c r="K86" s="172"/>
      <c r="L86" s="172"/>
      <c r="M86" s="163"/>
      <c r="N86" s="172"/>
      <c r="O86" s="172"/>
      <c r="P86" s="224" t="s">
        <v>227</v>
      </c>
      <c r="Q86" s="165" t="s">
        <v>107</v>
      </c>
      <c r="R86" s="165">
        <v>110</v>
      </c>
      <c r="S86" s="165">
        <v>80</v>
      </c>
      <c r="T86" s="116">
        <f t="shared" si="16"/>
        <v>275</v>
      </c>
      <c r="U86" s="116">
        <f t="shared" si="18"/>
        <v>465</v>
      </c>
      <c r="V86" s="116">
        <f t="shared" si="2"/>
        <v>190</v>
      </c>
      <c r="W86" s="116">
        <f t="shared" si="3"/>
        <v>480</v>
      </c>
      <c r="X86" s="116">
        <v>125</v>
      </c>
      <c r="Y86" s="116">
        <v>45</v>
      </c>
      <c r="Z86" s="116">
        <v>82</v>
      </c>
      <c r="AA86" s="116">
        <v>15</v>
      </c>
      <c r="AB86" s="155" t="s">
        <v>14</v>
      </c>
      <c r="AC86" s="225">
        <v>20</v>
      </c>
      <c r="AD86" s="226">
        <f t="shared" si="19"/>
        <v>338</v>
      </c>
      <c r="AE86" s="227">
        <f t="shared" si="4"/>
        <v>16.81977269511</v>
      </c>
      <c r="AF86" s="227">
        <f t="shared" si="8"/>
        <v>18.886521041387997</v>
      </c>
      <c r="AG86" s="228">
        <f t="shared" si="9"/>
        <v>35.706293736497997</v>
      </c>
      <c r="AH86" s="170">
        <f t="shared" si="5"/>
        <v>2.6134184999999999</v>
      </c>
      <c r="AI86" s="170">
        <f t="shared" si="15"/>
        <v>1.2311144999999999</v>
      </c>
      <c r="AJ86" s="229">
        <f t="shared" si="6"/>
        <v>1.382304</v>
      </c>
      <c r="AK86" s="171">
        <f t="shared" si="7"/>
        <v>10.84599952128</v>
      </c>
      <c r="AM86" s="223"/>
      <c r="AN86" s="223"/>
    </row>
    <row r="87" spans="1:40" s="230" customFormat="1" ht="18.75">
      <c r="B87" s="175"/>
      <c r="C87" s="115"/>
      <c r="D87" s="159"/>
      <c r="E87" s="160"/>
      <c r="F87" s="160"/>
      <c r="G87" s="160"/>
      <c r="H87" s="161"/>
      <c r="I87" s="176"/>
      <c r="J87" s="173"/>
      <c r="K87" s="172"/>
      <c r="L87" s="172"/>
      <c r="M87" s="163"/>
      <c r="N87" s="172"/>
      <c r="O87" s="172"/>
      <c r="P87" s="224" t="s">
        <v>208</v>
      </c>
      <c r="Q87" s="165" t="s">
        <v>157</v>
      </c>
      <c r="R87" s="165">
        <v>120</v>
      </c>
      <c r="S87" s="165">
        <v>50</v>
      </c>
      <c r="T87" s="116">
        <f t="shared" si="16"/>
        <v>275</v>
      </c>
      <c r="U87" s="116">
        <f>200+T87</f>
        <v>475</v>
      </c>
      <c r="V87" s="116">
        <f>U87-T87</f>
        <v>200</v>
      </c>
      <c r="W87" s="116">
        <f t="shared" si="3"/>
        <v>490</v>
      </c>
      <c r="X87" s="116">
        <v>140</v>
      </c>
      <c r="Y87" s="116">
        <v>45</v>
      </c>
      <c r="Z87" s="116">
        <v>83</v>
      </c>
      <c r="AA87" s="116">
        <v>15</v>
      </c>
      <c r="AB87" s="155" t="s">
        <v>14</v>
      </c>
      <c r="AC87" s="225">
        <v>20</v>
      </c>
      <c r="AD87" s="226">
        <v>117</v>
      </c>
      <c r="AE87" s="227">
        <f t="shared" si="4"/>
        <v>13.049093174039999</v>
      </c>
      <c r="AF87" s="227">
        <f t="shared" si="8"/>
        <v>24.388092673559999</v>
      </c>
      <c r="AG87" s="228">
        <f t="shared" si="9"/>
        <v>37.437185847599999</v>
      </c>
      <c r="AH87" s="170">
        <f t="shared" si="5"/>
        <v>3.1101839999999998</v>
      </c>
      <c r="AI87" s="170">
        <f t="shared" si="15"/>
        <v>2.5702214999999997</v>
      </c>
      <c r="AJ87" s="229">
        <f t="shared" si="6"/>
        <v>0.53996250000000012</v>
      </c>
      <c r="AK87" s="171">
        <f t="shared" si="7"/>
        <v>4.2367185629999993</v>
      </c>
      <c r="AM87" s="223"/>
      <c r="AN87" s="223"/>
    </row>
    <row r="88" spans="1:40" s="230" customFormat="1" ht="18.75">
      <c r="B88" s="175"/>
      <c r="C88" s="115"/>
      <c r="D88" s="159"/>
      <c r="E88" s="160"/>
      <c r="F88" s="160"/>
      <c r="G88" s="160"/>
      <c r="H88" s="161"/>
      <c r="I88" s="176"/>
      <c r="J88" s="173"/>
      <c r="K88" s="172"/>
      <c r="L88" s="172"/>
      <c r="M88" s="163"/>
      <c r="N88" s="172"/>
      <c r="O88" s="172"/>
      <c r="P88" s="224" t="s">
        <v>206</v>
      </c>
      <c r="Q88" s="165" t="s">
        <v>155</v>
      </c>
      <c r="R88" s="165">
        <v>120</v>
      </c>
      <c r="S88" s="165">
        <v>55</v>
      </c>
      <c r="T88" s="116">
        <f t="shared" si="16"/>
        <v>275</v>
      </c>
      <c r="U88" s="116">
        <f>200+T88</f>
        <v>475</v>
      </c>
      <c r="V88" s="116">
        <f>U88-T88</f>
        <v>200</v>
      </c>
      <c r="W88" s="116">
        <f t="shared" si="3"/>
        <v>490</v>
      </c>
      <c r="X88" s="116">
        <v>140</v>
      </c>
      <c r="Y88" s="116">
        <v>45</v>
      </c>
      <c r="Z88" s="116">
        <v>83</v>
      </c>
      <c r="AA88" s="116">
        <v>15</v>
      </c>
      <c r="AB88" s="155" t="s">
        <v>14</v>
      </c>
      <c r="AC88" s="225">
        <v>20</v>
      </c>
      <c r="AD88" s="226">
        <v>117</v>
      </c>
      <c r="AE88" s="227">
        <f t="shared" si="4"/>
        <v>13.938804072269999</v>
      </c>
      <c r="AF88" s="227">
        <f t="shared" si="8"/>
        <v>24.436622358917997</v>
      </c>
      <c r="AG88" s="228">
        <f t="shared" si="9"/>
        <v>38.375426431187996</v>
      </c>
      <c r="AH88" s="170">
        <f t="shared" si="5"/>
        <v>3.1101839999999998</v>
      </c>
      <c r="AI88" s="170">
        <f t="shared" si="15"/>
        <v>2.4568293749999999</v>
      </c>
      <c r="AJ88" s="229">
        <f t="shared" si="6"/>
        <v>0.65335462499999997</v>
      </c>
      <c r="AK88" s="171">
        <f t="shared" si="7"/>
        <v>5.1264294612299999</v>
      </c>
      <c r="AM88" s="223"/>
      <c r="AN88" s="223"/>
    </row>
    <row r="89" spans="1:40" s="230" customFormat="1" ht="18.75">
      <c r="B89" s="175"/>
      <c r="C89" s="115"/>
      <c r="D89" s="159"/>
      <c r="E89" s="160"/>
      <c r="F89" s="160"/>
      <c r="G89" s="160"/>
      <c r="H89" s="161"/>
      <c r="I89" s="176"/>
      <c r="J89" s="173"/>
      <c r="K89" s="172"/>
      <c r="L89" s="172"/>
      <c r="M89" s="163"/>
      <c r="N89" s="172"/>
      <c r="O89" s="172"/>
      <c r="P89" s="224" t="s">
        <v>207</v>
      </c>
      <c r="Q89" s="165" t="s">
        <v>156</v>
      </c>
      <c r="R89" s="165">
        <v>120</v>
      </c>
      <c r="S89" s="165">
        <v>60</v>
      </c>
      <c r="T89" s="116">
        <f t="shared" si="16"/>
        <v>275</v>
      </c>
      <c r="U89" s="116">
        <f t="shared" ref="U89:U99" si="20">200+T89</f>
        <v>475</v>
      </c>
      <c r="V89" s="116">
        <f t="shared" si="2"/>
        <v>200</v>
      </c>
      <c r="W89" s="116">
        <f t="shared" si="3"/>
        <v>490</v>
      </c>
      <c r="X89" s="116">
        <v>140</v>
      </c>
      <c r="Y89" s="116">
        <v>50</v>
      </c>
      <c r="Z89" s="116">
        <v>83</v>
      </c>
      <c r="AA89" s="116">
        <v>15</v>
      </c>
      <c r="AB89" s="155" t="s">
        <v>14</v>
      </c>
      <c r="AC89" s="225">
        <v>20</v>
      </c>
      <c r="AD89" s="226">
        <f t="shared" ref="AD89:AD99" si="21">67+T89</f>
        <v>342</v>
      </c>
      <c r="AE89" s="227">
        <f t="shared" si="4"/>
        <v>14.913249341759999</v>
      </c>
      <c r="AF89" s="227">
        <f t="shared" si="8"/>
        <v>24.489773919072</v>
      </c>
      <c r="AG89" s="228">
        <f t="shared" si="9"/>
        <v>39.403023260832001</v>
      </c>
      <c r="AH89" s="170">
        <f t="shared" si="5"/>
        <v>3.1101839999999998</v>
      </c>
      <c r="AI89" s="170">
        <f t="shared" si="15"/>
        <v>2.3326379999999998</v>
      </c>
      <c r="AJ89" s="229">
        <f t="shared" si="6"/>
        <v>0.77754600000000007</v>
      </c>
      <c r="AK89" s="171">
        <f t="shared" si="7"/>
        <v>6.1008747307199993</v>
      </c>
      <c r="AM89" s="223"/>
      <c r="AN89" s="223"/>
    </row>
    <row r="90" spans="1:40" s="230" customFormat="1" ht="18.75">
      <c r="B90" s="175"/>
      <c r="C90" s="115"/>
      <c r="D90" s="159"/>
      <c r="E90" s="160"/>
      <c r="F90" s="160"/>
      <c r="G90" s="160"/>
      <c r="H90" s="161"/>
      <c r="I90" s="176"/>
      <c r="J90" s="173"/>
      <c r="K90" s="172"/>
      <c r="L90" s="172"/>
      <c r="M90" s="163"/>
      <c r="N90" s="172"/>
      <c r="O90" s="172"/>
      <c r="P90" s="224" t="s">
        <v>70</v>
      </c>
      <c r="Q90" s="165" t="s">
        <v>105</v>
      </c>
      <c r="R90" s="165">
        <v>120</v>
      </c>
      <c r="S90" s="165">
        <v>70</v>
      </c>
      <c r="T90" s="116">
        <f t="shared" si="16"/>
        <v>275</v>
      </c>
      <c r="U90" s="116">
        <f t="shared" si="20"/>
        <v>475</v>
      </c>
      <c r="V90" s="116">
        <f t="shared" si="2"/>
        <v>200</v>
      </c>
      <c r="W90" s="116">
        <f t="shared" si="3"/>
        <v>490</v>
      </c>
      <c r="X90" s="116">
        <v>140</v>
      </c>
      <c r="Y90" s="116">
        <v>50</v>
      </c>
      <c r="Z90" s="116">
        <v>83</v>
      </c>
      <c r="AA90" s="116">
        <v>15</v>
      </c>
      <c r="AB90" s="155" t="s">
        <v>14</v>
      </c>
      <c r="AC90" s="225">
        <v>20</v>
      </c>
      <c r="AD90" s="226">
        <f t="shared" si="21"/>
        <v>342</v>
      </c>
      <c r="AE90" s="227">
        <f t="shared" si="4"/>
        <v>17.11634299452</v>
      </c>
      <c r="AF90" s="227">
        <f t="shared" si="8"/>
        <v>24.609942663767999</v>
      </c>
      <c r="AG90" s="228">
        <f t="shared" si="9"/>
        <v>41.726285658287999</v>
      </c>
      <c r="AH90" s="170">
        <f t="shared" si="5"/>
        <v>3.1101839999999998</v>
      </c>
      <c r="AI90" s="170">
        <f t="shared" si="15"/>
        <v>2.0518574999999997</v>
      </c>
      <c r="AJ90" s="229">
        <f t="shared" si="6"/>
        <v>1.0583265000000002</v>
      </c>
      <c r="AK90" s="171">
        <f t="shared" si="7"/>
        <v>8.3039683834800009</v>
      </c>
      <c r="AM90" s="223"/>
      <c r="AN90" s="223"/>
    </row>
    <row r="91" spans="1:40" s="230" customFormat="1" ht="18.75">
      <c r="B91" s="175"/>
      <c r="C91" s="115"/>
      <c r="D91" s="159"/>
      <c r="E91" s="160"/>
      <c r="F91" s="160"/>
      <c r="G91" s="160"/>
      <c r="H91" s="161"/>
      <c r="I91" s="176"/>
      <c r="J91" s="173"/>
      <c r="K91" s="172"/>
      <c r="L91" s="172"/>
      <c r="M91" s="163"/>
      <c r="N91" s="172"/>
      <c r="O91" s="172"/>
      <c r="P91" s="224" t="s">
        <v>71</v>
      </c>
      <c r="Q91" s="165" t="s">
        <v>104</v>
      </c>
      <c r="R91" s="165">
        <v>120</v>
      </c>
      <c r="S91" s="165">
        <v>80</v>
      </c>
      <c r="T91" s="116">
        <f t="shared" si="16"/>
        <v>275</v>
      </c>
      <c r="U91" s="116">
        <f t="shared" si="20"/>
        <v>475</v>
      </c>
      <c r="V91" s="116">
        <f t="shared" si="2"/>
        <v>200</v>
      </c>
      <c r="W91" s="116">
        <f t="shared" si="3"/>
        <v>490</v>
      </c>
      <c r="X91" s="116">
        <v>140</v>
      </c>
      <c r="Y91" s="116">
        <v>50</v>
      </c>
      <c r="Z91" s="116">
        <v>83</v>
      </c>
      <c r="AA91" s="116">
        <v>15</v>
      </c>
      <c r="AB91" s="155" t="s">
        <v>14</v>
      </c>
      <c r="AC91" s="225">
        <v>20</v>
      </c>
      <c r="AD91" s="226">
        <f t="shared" si="21"/>
        <v>342</v>
      </c>
      <c r="AE91" s="227">
        <f t="shared" si="4"/>
        <v>19.658374132319999</v>
      </c>
      <c r="AF91" s="227">
        <f t="shared" si="8"/>
        <v>24.748598907647999</v>
      </c>
      <c r="AG91" s="228">
        <f t="shared" si="9"/>
        <v>44.406973039967994</v>
      </c>
      <c r="AH91" s="170">
        <f t="shared" si="5"/>
        <v>3.1101839999999998</v>
      </c>
      <c r="AI91" s="170">
        <f t="shared" si="15"/>
        <v>1.7278799999999999</v>
      </c>
      <c r="AJ91" s="229">
        <f t="shared" si="6"/>
        <v>1.382304</v>
      </c>
      <c r="AK91" s="171">
        <f t="shared" si="7"/>
        <v>10.84599952128</v>
      </c>
      <c r="AM91" s="223"/>
      <c r="AN91" s="223"/>
    </row>
    <row r="92" spans="1:40" s="230" customFormat="1" ht="18.75">
      <c r="B92" s="175"/>
      <c r="C92" s="115"/>
      <c r="D92" s="159"/>
      <c r="E92" s="160"/>
      <c r="F92" s="160"/>
      <c r="G92" s="160"/>
      <c r="H92" s="161"/>
      <c r="I92" s="176"/>
      <c r="J92" s="173"/>
      <c r="K92" s="172"/>
      <c r="L92" s="172"/>
      <c r="M92" s="163"/>
      <c r="N92" s="172"/>
      <c r="O92" s="172"/>
      <c r="P92" s="224" t="s">
        <v>205</v>
      </c>
      <c r="Q92" s="165" t="s">
        <v>103</v>
      </c>
      <c r="R92" s="165">
        <v>120</v>
      </c>
      <c r="S92" s="165">
        <v>90</v>
      </c>
      <c r="T92" s="116">
        <f t="shared" si="16"/>
        <v>275</v>
      </c>
      <c r="U92" s="116">
        <f t="shared" si="20"/>
        <v>475</v>
      </c>
      <c r="V92" s="116">
        <f t="shared" si="2"/>
        <v>200</v>
      </c>
      <c r="W92" s="116">
        <f t="shared" si="3"/>
        <v>490</v>
      </c>
      <c r="X92" s="116">
        <v>140</v>
      </c>
      <c r="Y92" s="116">
        <v>50</v>
      </c>
      <c r="Z92" s="116">
        <v>83</v>
      </c>
      <c r="AA92" s="116">
        <v>15</v>
      </c>
      <c r="AB92" s="155" t="s">
        <v>14</v>
      </c>
      <c r="AC92" s="225">
        <v>20</v>
      </c>
      <c r="AD92" s="226">
        <f t="shared" si="21"/>
        <v>342</v>
      </c>
      <c r="AE92" s="227">
        <f t="shared" si="4"/>
        <v>22.53934275516</v>
      </c>
      <c r="AF92" s="227">
        <f t="shared" si="8"/>
        <v>24.905742650712</v>
      </c>
      <c r="AG92" s="228">
        <f t="shared" si="9"/>
        <v>47.445085405872</v>
      </c>
      <c r="AH92" s="170">
        <f t="shared" si="5"/>
        <v>3.1101839999999998</v>
      </c>
      <c r="AI92" s="170">
        <f t="shared" si="15"/>
        <v>1.3607054999999999</v>
      </c>
      <c r="AJ92" s="229">
        <f t="shared" si="6"/>
        <v>1.7494784999999999</v>
      </c>
      <c r="AK92" s="171">
        <f t="shared" si="7"/>
        <v>13.726968144119999</v>
      </c>
      <c r="AM92" s="223"/>
      <c r="AN92" s="223"/>
    </row>
    <row r="93" spans="1:40" s="230" customFormat="1" ht="18.75">
      <c r="B93" s="175"/>
      <c r="C93" s="115"/>
      <c r="D93" s="159"/>
      <c r="E93" s="160"/>
      <c r="F93" s="160"/>
      <c r="G93" s="160"/>
      <c r="H93" s="161"/>
      <c r="I93" s="176"/>
      <c r="J93" s="173"/>
      <c r="K93" s="172"/>
      <c r="L93" s="172"/>
      <c r="M93" s="163"/>
      <c r="N93" s="172"/>
      <c r="O93" s="172"/>
      <c r="P93" s="224" t="s">
        <v>202</v>
      </c>
      <c r="Q93" s="165" t="s">
        <v>158</v>
      </c>
      <c r="R93" s="165">
        <v>125</v>
      </c>
      <c r="S93" s="165">
        <v>50</v>
      </c>
      <c r="T93" s="116">
        <f t="shared" si="16"/>
        <v>275</v>
      </c>
      <c r="U93" s="116">
        <f t="shared" si="20"/>
        <v>475</v>
      </c>
      <c r="V93" s="116">
        <f t="shared" si="2"/>
        <v>200</v>
      </c>
      <c r="W93" s="116">
        <f t="shared" si="3"/>
        <v>490</v>
      </c>
      <c r="X93" s="116">
        <v>145</v>
      </c>
      <c r="Y93" s="116">
        <v>45</v>
      </c>
      <c r="Z93" s="116">
        <v>83</v>
      </c>
      <c r="AA93" s="116">
        <v>15</v>
      </c>
      <c r="AB93" s="155" t="s">
        <v>14</v>
      </c>
      <c r="AC93" s="225">
        <v>20</v>
      </c>
      <c r="AD93" s="226">
        <f t="shared" ref="AD93:AD98" si="22">72+T93</f>
        <v>347</v>
      </c>
      <c r="AE93" s="227">
        <f t="shared" si="4"/>
        <v>13.388030659079998</v>
      </c>
      <c r="AF93" s="227">
        <f t="shared" si="8"/>
        <v>26.14440509604</v>
      </c>
      <c r="AG93" s="228">
        <f t="shared" si="9"/>
        <v>39.532435755119998</v>
      </c>
      <c r="AH93" s="170">
        <f t="shared" si="5"/>
        <v>3.3747656249999998</v>
      </c>
      <c r="AI93" s="170">
        <f t="shared" si="15"/>
        <v>2.8348031249999996</v>
      </c>
      <c r="AJ93" s="229">
        <f t="shared" si="6"/>
        <v>0.53996250000000012</v>
      </c>
      <c r="AK93" s="171">
        <f t="shared" si="7"/>
        <v>4.2367185629999993</v>
      </c>
      <c r="AM93" s="223"/>
      <c r="AN93" s="223"/>
    </row>
    <row r="94" spans="1:40" s="230" customFormat="1" ht="18.75">
      <c r="B94" s="175"/>
      <c r="C94" s="115"/>
      <c r="D94" s="159"/>
      <c r="E94" s="160"/>
      <c r="F94" s="160"/>
      <c r="G94" s="160"/>
      <c r="H94" s="161"/>
      <c r="I94" s="176"/>
      <c r="J94" s="173"/>
      <c r="K94" s="172"/>
      <c r="L94" s="172"/>
      <c r="M94" s="163"/>
      <c r="N94" s="172"/>
      <c r="O94" s="172"/>
      <c r="P94" s="224" t="s">
        <v>203</v>
      </c>
      <c r="Q94" s="165" t="s">
        <v>159</v>
      </c>
      <c r="R94" s="165">
        <v>125</v>
      </c>
      <c r="S94" s="165">
        <v>55</v>
      </c>
      <c r="T94" s="116">
        <f t="shared" si="16"/>
        <v>275</v>
      </c>
      <c r="U94" s="116">
        <f t="shared" si="20"/>
        <v>475</v>
      </c>
      <c r="V94" s="116">
        <f t="shared" si="2"/>
        <v>200</v>
      </c>
      <c r="W94" s="116">
        <f t="shared" si="3"/>
        <v>490</v>
      </c>
      <c r="X94" s="116">
        <v>145</v>
      </c>
      <c r="Y94" s="116">
        <v>45</v>
      </c>
      <c r="Z94" s="116">
        <v>83</v>
      </c>
      <c r="AA94" s="116">
        <v>15</v>
      </c>
      <c r="AB94" s="155" t="s">
        <v>14</v>
      </c>
      <c r="AC94" s="225">
        <v>20</v>
      </c>
      <c r="AD94" s="226">
        <f t="shared" si="22"/>
        <v>347</v>
      </c>
      <c r="AE94" s="227">
        <f t="shared" si="4"/>
        <v>14.27774155731</v>
      </c>
      <c r="AF94" s="227">
        <f t="shared" si="8"/>
        <v>26.192934781397998</v>
      </c>
      <c r="AG94" s="228">
        <f t="shared" si="9"/>
        <v>40.470676338707996</v>
      </c>
      <c r="AH94" s="170">
        <f t="shared" si="5"/>
        <v>3.3747656249999998</v>
      </c>
      <c r="AI94" s="170">
        <f t="shared" si="15"/>
        <v>2.7214109999999998</v>
      </c>
      <c r="AJ94" s="229">
        <f t="shared" si="6"/>
        <v>0.65335462499999997</v>
      </c>
      <c r="AK94" s="171">
        <f t="shared" si="7"/>
        <v>5.1264294612299999</v>
      </c>
      <c r="AM94" s="223"/>
      <c r="AN94" s="223"/>
    </row>
    <row r="95" spans="1:40" s="230" customFormat="1" ht="15.75">
      <c r="A95" s="231"/>
      <c r="B95" s="174"/>
      <c r="C95" s="174"/>
      <c r="D95" s="153"/>
      <c r="E95" s="153"/>
      <c r="F95" s="153"/>
      <c r="G95" s="153"/>
      <c r="H95" s="153"/>
      <c r="I95" s="153"/>
      <c r="J95" s="172"/>
      <c r="K95" s="172"/>
      <c r="L95" s="172"/>
      <c r="M95" s="172"/>
      <c r="N95" s="172"/>
      <c r="O95" s="172"/>
      <c r="P95" s="224" t="s">
        <v>204</v>
      </c>
      <c r="Q95" s="165" t="s">
        <v>160</v>
      </c>
      <c r="R95" s="165">
        <v>125</v>
      </c>
      <c r="S95" s="165">
        <v>60</v>
      </c>
      <c r="T95" s="116">
        <f t="shared" si="16"/>
        <v>275</v>
      </c>
      <c r="U95" s="116">
        <f t="shared" si="20"/>
        <v>475</v>
      </c>
      <c r="V95" s="116">
        <f t="shared" si="2"/>
        <v>200</v>
      </c>
      <c r="W95" s="116">
        <f t="shared" si="3"/>
        <v>490</v>
      </c>
      <c r="X95" s="116">
        <v>145</v>
      </c>
      <c r="Y95" s="116">
        <v>45</v>
      </c>
      <c r="Z95" s="116">
        <v>83</v>
      </c>
      <c r="AA95" s="116">
        <v>15</v>
      </c>
      <c r="AB95" s="155" t="s">
        <v>14</v>
      </c>
      <c r="AC95" s="225">
        <v>20</v>
      </c>
      <c r="AD95" s="226">
        <f t="shared" si="22"/>
        <v>347</v>
      </c>
      <c r="AE95" s="227">
        <f t="shared" si="4"/>
        <v>15.252186826799999</v>
      </c>
      <c r="AF95" s="227">
        <f t="shared" si="8"/>
        <v>26.246086341551997</v>
      </c>
      <c r="AG95" s="228">
        <f t="shared" si="9"/>
        <v>41.498273168352</v>
      </c>
      <c r="AH95" s="170">
        <f t="shared" si="5"/>
        <v>3.3747656249999998</v>
      </c>
      <c r="AI95" s="170">
        <f t="shared" si="15"/>
        <v>2.5972196249999997</v>
      </c>
      <c r="AJ95" s="229">
        <f t="shared" si="6"/>
        <v>0.77754600000000007</v>
      </c>
      <c r="AK95" s="171">
        <f t="shared" si="7"/>
        <v>6.1008747307199993</v>
      </c>
      <c r="AM95" s="223"/>
      <c r="AN95" s="223"/>
    </row>
    <row r="96" spans="1:40" s="230" customFormat="1" ht="15.75">
      <c r="A96" s="231"/>
      <c r="B96" s="174"/>
      <c r="C96" s="174"/>
      <c r="D96" s="153"/>
      <c r="E96" s="153"/>
      <c r="F96" s="153"/>
      <c r="G96" s="153"/>
      <c r="H96" s="153"/>
      <c r="I96" s="153"/>
      <c r="J96" s="172"/>
      <c r="K96" s="172"/>
      <c r="L96" s="172"/>
      <c r="M96" s="172"/>
      <c r="N96" s="172"/>
      <c r="O96" s="172"/>
      <c r="P96" s="224" t="s">
        <v>188</v>
      </c>
      <c r="Q96" s="165" t="s">
        <v>28</v>
      </c>
      <c r="R96" s="165">
        <v>125</v>
      </c>
      <c r="S96" s="165">
        <v>70</v>
      </c>
      <c r="T96" s="116">
        <f t="shared" si="16"/>
        <v>275</v>
      </c>
      <c r="U96" s="116">
        <f t="shared" si="20"/>
        <v>475</v>
      </c>
      <c r="V96" s="116">
        <f t="shared" si="2"/>
        <v>200</v>
      </c>
      <c r="W96" s="116">
        <f t="shared" si="3"/>
        <v>490</v>
      </c>
      <c r="X96" s="116">
        <v>145</v>
      </c>
      <c r="Y96" s="116">
        <v>45</v>
      </c>
      <c r="Z96" s="116">
        <v>83</v>
      </c>
      <c r="AA96" s="116">
        <v>15</v>
      </c>
      <c r="AB96" s="155" t="s">
        <v>14</v>
      </c>
      <c r="AC96" s="225">
        <v>20</v>
      </c>
      <c r="AD96" s="226">
        <f t="shared" si="22"/>
        <v>347</v>
      </c>
      <c r="AE96" s="227">
        <f t="shared" si="4"/>
        <v>17.455280479559999</v>
      </c>
      <c r="AF96" s="227">
        <f t="shared" si="8"/>
        <v>26.366255086247996</v>
      </c>
      <c r="AG96" s="228">
        <f t="shared" si="9"/>
        <v>43.821535565807991</v>
      </c>
      <c r="AH96" s="170">
        <f t="shared" si="5"/>
        <v>3.3747656249999998</v>
      </c>
      <c r="AI96" s="170">
        <f t="shared" si="15"/>
        <v>2.3164391249999996</v>
      </c>
      <c r="AJ96" s="229">
        <f t="shared" si="6"/>
        <v>1.0583265000000002</v>
      </c>
      <c r="AK96" s="171">
        <f t="shared" si="7"/>
        <v>8.3039683834800009</v>
      </c>
      <c r="AM96" s="223"/>
      <c r="AN96" s="223"/>
    </row>
    <row r="97" spans="1:40" s="230" customFormat="1" ht="15.75">
      <c r="A97" s="231"/>
      <c r="B97" s="174"/>
      <c r="C97" s="174"/>
      <c r="D97" s="153"/>
      <c r="E97" s="153"/>
      <c r="F97" s="153"/>
      <c r="G97" s="153"/>
      <c r="H97" s="153"/>
      <c r="I97" s="153"/>
      <c r="J97" s="172"/>
      <c r="K97" s="172"/>
      <c r="L97" s="172"/>
      <c r="M97" s="172"/>
      <c r="N97" s="172"/>
      <c r="O97" s="172"/>
      <c r="P97" s="224" t="s">
        <v>200</v>
      </c>
      <c r="Q97" s="165" t="s">
        <v>75</v>
      </c>
      <c r="R97" s="165">
        <v>125</v>
      </c>
      <c r="S97" s="165">
        <v>80</v>
      </c>
      <c r="T97" s="116">
        <f t="shared" si="16"/>
        <v>275</v>
      </c>
      <c r="U97" s="116">
        <f t="shared" si="20"/>
        <v>475</v>
      </c>
      <c r="V97" s="116">
        <f t="shared" si="2"/>
        <v>200</v>
      </c>
      <c r="W97" s="116">
        <f t="shared" si="3"/>
        <v>490</v>
      </c>
      <c r="X97" s="116">
        <v>145</v>
      </c>
      <c r="Y97" s="116">
        <v>45</v>
      </c>
      <c r="Z97" s="116">
        <v>83</v>
      </c>
      <c r="AA97" s="116">
        <v>15</v>
      </c>
      <c r="AB97" s="155" t="s">
        <v>14</v>
      </c>
      <c r="AC97" s="225">
        <v>20</v>
      </c>
      <c r="AD97" s="226">
        <f t="shared" si="22"/>
        <v>347</v>
      </c>
      <c r="AE97" s="227">
        <f t="shared" si="4"/>
        <v>19.997311617359998</v>
      </c>
      <c r="AF97" s="227">
        <f t="shared" si="8"/>
        <v>26.504911330127996</v>
      </c>
      <c r="AG97" s="228">
        <f t="shared" si="9"/>
        <v>46.502222947487994</v>
      </c>
      <c r="AH97" s="170">
        <f t="shared" si="5"/>
        <v>3.3747656249999998</v>
      </c>
      <c r="AI97" s="170">
        <f t="shared" si="15"/>
        <v>1.9924616249999998</v>
      </c>
      <c r="AJ97" s="229">
        <f t="shared" si="6"/>
        <v>1.382304</v>
      </c>
      <c r="AK97" s="171">
        <f t="shared" si="7"/>
        <v>10.84599952128</v>
      </c>
      <c r="AM97" s="223"/>
      <c r="AN97" s="223"/>
    </row>
    <row r="98" spans="1:40" s="230" customFormat="1" ht="15.75">
      <c r="A98" s="231"/>
      <c r="B98" s="174"/>
      <c r="C98" s="174"/>
      <c r="D98" s="153"/>
      <c r="E98" s="153"/>
      <c r="F98" s="153"/>
      <c r="G98" s="153"/>
      <c r="H98" s="153"/>
      <c r="I98" s="153"/>
      <c r="J98" s="172"/>
      <c r="K98" s="172"/>
      <c r="L98" s="172"/>
      <c r="M98" s="172"/>
      <c r="N98" s="172"/>
      <c r="O98" s="172"/>
      <c r="P98" s="224" t="s">
        <v>201</v>
      </c>
      <c r="Q98" s="165" t="s">
        <v>76</v>
      </c>
      <c r="R98" s="165">
        <v>125</v>
      </c>
      <c r="S98" s="165">
        <v>90</v>
      </c>
      <c r="T98" s="116">
        <f t="shared" si="16"/>
        <v>275</v>
      </c>
      <c r="U98" s="116">
        <f t="shared" si="20"/>
        <v>475</v>
      </c>
      <c r="V98" s="116">
        <f t="shared" si="2"/>
        <v>200</v>
      </c>
      <c r="W98" s="116">
        <f t="shared" si="3"/>
        <v>490</v>
      </c>
      <c r="X98" s="116">
        <v>145</v>
      </c>
      <c r="Y98" s="116">
        <v>45</v>
      </c>
      <c r="Z98" s="116">
        <v>83</v>
      </c>
      <c r="AA98" s="116">
        <v>15</v>
      </c>
      <c r="AB98" s="155" t="s">
        <v>14</v>
      </c>
      <c r="AC98" s="225">
        <v>20</v>
      </c>
      <c r="AD98" s="226">
        <f t="shared" si="22"/>
        <v>347</v>
      </c>
      <c r="AE98" s="227">
        <f t="shared" si="4"/>
        <v>22.878280240199999</v>
      </c>
      <c r="AF98" s="227">
        <f t="shared" si="8"/>
        <v>26.662055073192001</v>
      </c>
      <c r="AG98" s="228">
        <f t="shared" si="9"/>
        <v>49.540335313391999</v>
      </c>
      <c r="AH98" s="170">
        <f t="shared" si="5"/>
        <v>3.3747656249999998</v>
      </c>
      <c r="AI98" s="170">
        <f t="shared" si="15"/>
        <v>1.6252871249999998</v>
      </c>
      <c r="AJ98" s="229">
        <f t="shared" si="6"/>
        <v>1.7494784999999999</v>
      </c>
      <c r="AK98" s="171">
        <f t="shared" si="7"/>
        <v>13.726968144119999</v>
      </c>
      <c r="AM98" s="223"/>
      <c r="AN98" s="223"/>
    </row>
    <row r="99" spans="1:40" s="230" customFormat="1" ht="15.75">
      <c r="A99" s="158"/>
      <c r="B99" s="135"/>
      <c r="C99" s="174"/>
      <c r="D99" s="153"/>
      <c r="E99" s="153"/>
      <c r="F99" s="153"/>
      <c r="G99" s="153"/>
      <c r="H99" s="153"/>
      <c r="I99" s="153"/>
      <c r="J99" s="172"/>
      <c r="K99" s="172"/>
      <c r="L99" s="172"/>
      <c r="M99" s="172"/>
      <c r="N99" s="172"/>
      <c r="O99" s="172"/>
      <c r="P99" s="224" t="s">
        <v>80</v>
      </c>
      <c r="Q99" s="165" t="s">
        <v>72</v>
      </c>
      <c r="R99" s="165">
        <v>130</v>
      </c>
      <c r="S99" s="165">
        <v>80</v>
      </c>
      <c r="T99" s="116">
        <f t="shared" si="16"/>
        <v>275</v>
      </c>
      <c r="U99" s="116">
        <f t="shared" si="20"/>
        <v>475</v>
      </c>
      <c r="V99" s="116">
        <f t="shared" si="2"/>
        <v>200</v>
      </c>
      <c r="W99" s="116">
        <f t="shared" si="3"/>
        <v>490</v>
      </c>
      <c r="X99" s="116">
        <v>150</v>
      </c>
      <c r="Y99" s="116">
        <v>50</v>
      </c>
      <c r="Z99" s="116">
        <v>83</v>
      </c>
      <c r="AA99" s="116">
        <v>15</v>
      </c>
      <c r="AB99" s="155" t="s">
        <v>14</v>
      </c>
      <c r="AC99" s="225">
        <v>20</v>
      </c>
      <c r="AD99" s="226">
        <f t="shared" si="21"/>
        <v>342</v>
      </c>
      <c r="AE99" s="227">
        <f t="shared" si="4"/>
        <v>20.3362491024</v>
      </c>
      <c r="AF99" s="227">
        <f t="shared" si="8"/>
        <v>28.322848749887996</v>
      </c>
      <c r="AG99" s="228">
        <f t="shared" si="9"/>
        <v>48.659097852287999</v>
      </c>
      <c r="AH99" s="170">
        <f t="shared" si="5"/>
        <v>3.6501465</v>
      </c>
      <c r="AI99" s="170">
        <f t="shared" si="15"/>
        <v>2.2678425</v>
      </c>
      <c r="AJ99" s="229">
        <f t="shared" si="6"/>
        <v>1.382304</v>
      </c>
      <c r="AK99" s="171">
        <f t="shared" si="7"/>
        <v>10.84599952128</v>
      </c>
      <c r="AM99" s="223"/>
      <c r="AN99" s="223"/>
    </row>
    <row r="100" spans="1:40" s="230" customFormat="1" ht="15.75">
      <c r="A100" s="158"/>
      <c r="B100" s="135"/>
      <c r="C100" s="174"/>
      <c r="D100" s="153"/>
      <c r="E100" s="153"/>
      <c r="F100" s="153"/>
      <c r="G100" s="153"/>
      <c r="H100" s="153"/>
      <c r="I100" s="153"/>
      <c r="J100" s="172"/>
      <c r="K100" s="172"/>
      <c r="L100" s="172"/>
      <c r="M100" s="172"/>
      <c r="N100" s="172"/>
      <c r="O100" s="172"/>
      <c r="P100" s="224" t="s">
        <v>197</v>
      </c>
      <c r="Q100" s="165" t="s">
        <v>161</v>
      </c>
      <c r="R100" s="165">
        <v>140</v>
      </c>
      <c r="S100" s="165">
        <v>50</v>
      </c>
      <c r="T100" s="116">
        <f t="shared" si="16"/>
        <v>275</v>
      </c>
      <c r="U100" s="116">
        <f t="shared" ref="U100:U119" si="23">220+T100</f>
        <v>495</v>
      </c>
      <c r="V100" s="116">
        <f t="shared" si="2"/>
        <v>220</v>
      </c>
      <c r="W100" s="116">
        <f t="shared" si="3"/>
        <v>510</v>
      </c>
      <c r="X100" s="116">
        <v>160</v>
      </c>
      <c r="Y100" s="116">
        <v>41</v>
      </c>
      <c r="Z100" s="116">
        <v>102</v>
      </c>
      <c r="AA100" s="116">
        <v>15</v>
      </c>
      <c r="AB100" s="155" t="s">
        <v>14</v>
      </c>
      <c r="AC100" s="225">
        <v>20</v>
      </c>
      <c r="AD100" s="226">
        <f>75+T100</f>
        <v>350</v>
      </c>
      <c r="AE100" s="227">
        <f t="shared" si="4"/>
        <v>14.404843114199991</v>
      </c>
      <c r="AF100" s="227">
        <f t="shared" si="8"/>
        <v>34.938292207895998</v>
      </c>
      <c r="AG100" s="228">
        <f t="shared" si="9"/>
        <v>49.343135322095989</v>
      </c>
      <c r="AH100" s="170">
        <f t="shared" si="5"/>
        <v>4.2333059999999998</v>
      </c>
      <c r="AI100" s="170">
        <f t="shared" ref="AI100:AI120" si="24">AH100-(((3.1416*S100*S100)/4)*T100*0.000001)</f>
        <v>3.6933435000000001</v>
      </c>
      <c r="AJ100" s="229">
        <f t="shared" si="6"/>
        <v>0.53996249999999968</v>
      </c>
      <c r="AK100" s="171">
        <f t="shared" si="7"/>
        <v>4.2367185629999993</v>
      </c>
      <c r="AM100" s="223"/>
      <c r="AN100" s="223"/>
    </row>
    <row r="101" spans="1:40" s="230" customFormat="1" ht="18.75">
      <c r="A101" s="158"/>
      <c r="B101" s="135"/>
      <c r="C101" s="174"/>
      <c r="D101" s="153"/>
      <c r="E101" s="153"/>
      <c r="F101" s="153"/>
      <c r="G101" s="153"/>
      <c r="H101" s="153"/>
      <c r="I101" s="153"/>
      <c r="J101" s="172"/>
      <c r="K101" s="177"/>
      <c r="L101" s="177"/>
      <c r="M101" s="177"/>
      <c r="N101" s="177"/>
      <c r="O101" s="177"/>
      <c r="P101" s="224" t="s">
        <v>198</v>
      </c>
      <c r="Q101" s="165" t="s">
        <v>162</v>
      </c>
      <c r="R101" s="165">
        <v>140</v>
      </c>
      <c r="S101" s="165">
        <v>55</v>
      </c>
      <c r="T101" s="116">
        <f t="shared" si="16"/>
        <v>275</v>
      </c>
      <c r="U101" s="116">
        <f t="shared" si="23"/>
        <v>495</v>
      </c>
      <c r="V101" s="116">
        <f t="shared" si="2"/>
        <v>220</v>
      </c>
      <c r="W101" s="116">
        <f t="shared" ref="W101:W120" si="25">U101+AA101</f>
        <v>510</v>
      </c>
      <c r="X101" s="116">
        <v>160</v>
      </c>
      <c r="Y101" s="116">
        <v>41</v>
      </c>
      <c r="Z101" s="116">
        <v>102</v>
      </c>
      <c r="AA101" s="116">
        <v>15</v>
      </c>
      <c r="AB101" s="155" t="s">
        <v>14</v>
      </c>
      <c r="AC101" s="225">
        <v>20</v>
      </c>
      <c r="AD101" s="226">
        <f t="shared" ref="AD101:AD107" si="26">75+T101</f>
        <v>350</v>
      </c>
      <c r="AE101" s="227">
        <f t="shared" ref="AE101:AE120" si="27">((((X101*X101*3.1416)/4)*T101)-(((R101*R101*3.1416)/4)*T101)+(((S101*S101*3.1416)/4)*T101))*0.00000784632</f>
        <v>15.294554012429991</v>
      </c>
      <c r="AF101" s="227">
        <f t="shared" ref="AF101:AF120" si="28">((((X101*X101*3.1416)/4)*V101)+(((S101*S101*3.1416)/4)*AA101))*0.00000784632</f>
        <v>34.986821893253996</v>
      </c>
      <c r="AG101" s="228">
        <f t="shared" si="9"/>
        <v>50.281375905683987</v>
      </c>
      <c r="AH101" s="170">
        <f t="shared" si="5"/>
        <v>4.2333059999999998</v>
      </c>
      <c r="AI101" s="170">
        <f t="shared" si="24"/>
        <v>3.5799513749999998</v>
      </c>
      <c r="AJ101" s="229">
        <f t="shared" si="6"/>
        <v>0.65335462499999997</v>
      </c>
      <c r="AK101" s="171">
        <f t="shared" si="7"/>
        <v>5.1264294612299999</v>
      </c>
      <c r="AM101" s="223"/>
      <c r="AN101" s="223"/>
    </row>
    <row r="102" spans="1:40" s="230" customFormat="1" ht="15.75">
      <c r="A102" s="158"/>
      <c r="B102" s="135"/>
      <c r="C102" s="174"/>
      <c r="D102" s="153"/>
      <c r="E102" s="153"/>
      <c r="F102" s="153"/>
      <c r="G102" s="153"/>
      <c r="H102" s="153"/>
      <c r="I102" s="153"/>
      <c r="J102" s="172"/>
      <c r="K102" s="172"/>
      <c r="L102" s="172"/>
      <c r="M102" s="172"/>
      <c r="N102" s="172"/>
      <c r="O102" s="172"/>
      <c r="P102" s="224" t="s">
        <v>199</v>
      </c>
      <c r="Q102" s="165" t="s">
        <v>163</v>
      </c>
      <c r="R102" s="165">
        <v>140</v>
      </c>
      <c r="S102" s="165">
        <v>60</v>
      </c>
      <c r="T102" s="116">
        <f t="shared" si="16"/>
        <v>275</v>
      </c>
      <c r="U102" s="116">
        <f t="shared" si="23"/>
        <v>495</v>
      </c>
      <c r="V102" s="116">
        <f t="shared" si="2"/>
        <v>220</v>
      </c>
      <c r="W102" s="116">
        <f t="shared" si="25"/>
        <v>510</v>
      </c>
      <c r="X102" s="116">
        <v>160</v>
      </c>
      <c r="Y102" s="116">
        <v>41</v>
      </c>
      <c r="Z102" s="116">
        <v>102</v>
      </c>
      <c r="AA102" s="116">
        <v>15</v>
      </c>
      <c r="AB102" s="155" t="s">
        <v>14</v>
      </c>
      <c r="AC102" s="225">
        <v>20</v>
      </c>
      <c r="AD102" s="226">
        <f t="shared" si="26"/>
        <v>350</v>
      </c>
      <c r="AE102" s="227">
        <f t="shared" si="27"/>
        <v>16.268999281919992</v>
      </c>
      <c r="AF102" s="227">
        <f t="shared" si="28"/>
        <v>35.039973453407995</v>
      </c>
      <c r="AG102" s="228">
        <f t="shared" ref="AG102:AG120" si="29">AE102+AF102</f>
        <v>51.308972735327984</v>
      </c>
      <c r="AH102" s="170">
        <f t="shared" si="5"/>
        <v>4.2333059999999998</v>
      </c>
      <c r="AI102" s="170">
        <f t="shared" si="24"/>
        <v>3.4557599999999997</v>
      </c>
      <c r="AJ102" s="229">
        <f t="shared" si="6"/>
        <v>0.77754600000000007</v>
      </c>
      <c r="AK102" s="171">
        <f t="shared" si="7"/>
        <v>6.1008747307199993</v>
      </c>
      <c r="AM102" s="223"/>
      <c r="AN102" s="223"/>
    </row>
    <row r="103" spans="1:40" s="230" customFormat="1" ht="15.75">
      <c r="A103" s="158"/>
      <c r="B103" s="135"/>
      <c r="C103" s="174"/>
      <c r="D103" s="153"/>
      <c r="E103" s="153"/>
      <c r="F103" s="153"/>
      <c r="G103" s="153"/>
      <c r="H103" s="153"/>
      <c r="I103" s="153"/>
      <c r="J103" s="172"/>
      <c r="K103" s="172"/>
      <c r="L103" s="172"/>
      <c r="M103" s="172"/>
      <c r="N103" s="172"/>
      <c r="O103" s="172"/>
      <c r="P103" s="224" t="s">
        <v>81</v>
      </c>
      <c r="Q103" s="165" t="s">
        <v>73</v>
      </c>
      <c r="R103" s="165">
        <v>140</v>
      </c>
      <c r="S103" s="165">
        <v>70</v>
      </c>
      <c r="T103" s="116">
        <f t="shared" si="16"/>
        <v>275</v>
      </c>
      <c r="U103" s="116">
        <f t="shared" si="23"/>
        <v>495</v>
      </c>
      <c r="V103" s="116">
        <f t="shared" si="2"/>
        <v>220</v>
      </c>
      <c r="W103" s="116">
        <f t="shared" si="25"/>
        <v>510</v>
      </c>
      <c r="X103" s="116">
        <v>160</v>
      </c>
      <c r="Y103" s="116">
        <v>41</v>
      </c>
      <c r="Z103" s="116">
        <v>102</v>
      </c>
      <c r="AA103" s="116">
        <v>15</v>
      </c>
      <c r="AB103" s="155" t="s">
        <v>14</v>
      </c>
      <c r="AC103" s="225">
        <v>20</v>
      </c>
      <c r="AD103" s="226">
        <f t="shared" si="26"/>
        <v>350</v>
      </c>
      <c r="AE103" s="227">
        <f t="shared" si="27"/>
        <v>18.472092934679992</v>
      </c>
      <c r="AF103" s="227">
        <f t="shared" si="28"/>
        <v>35.160142198103998</v>
      </c>
      <c r="AG103" s="228">
        <f t="shared" si="29"/>
        <v>53.63223513278399</v>
      </c>
      <c r="AH103" s="170">
        <f t="shared" si="5"/>
        <v>4.2333059999999998</v>
      </c>
      <c r="AI103" s="170">
        <f t="shared" si="24"/>
        <v>3.1749795000000001</v>
      </c>
      <c r="AJ103" s="229">
        <f t="shared" si="6"/>
        <v>1.0583264999999997</v>
      </c>
      <c r="AK103" s="171">
        <f t="shared" si="7"/>
        <v>8.3039683834800009</v>
      </c>
      <c r="AM103" s="223"/>
      <c r="AN103" s="223"/>
    </row>
    <row r="104" spans="1:40" s="230" customFormat="1" ht="15.75">
      <c r="A104" s="158"/>
      <c r="B104" s="135"/>
      <c r="C104" s="174"/>
      <c r="D104" s="153"/>
      <c r="E104" s="153"/>
      <c r="F104" s="153"/>
      <c r="G104" s="153"/>
      <c r="H104" s="153"/>
      <c r="I104" s="153"/>
      <c r="J104" s="172"/>
      <c r="K104" s="172"/>
      <c r="L104" s="172"/>
      <c r="M104" s="172"/>
      <c r="N104" s="172"/>
      <c r="O104" s="172"/>
      <c r="P104" s="224" t="s">
        <v>193</v>
      </c>
      <c r="Q104" s="165" t="s">
        <v>74</v>
      </c>
      <c r="R104" s="165">
        <v>140</v>
      </c>
      <c r="S104" s="165">
        <v>80</v>
      </c>
      <c r="T104" s="116">
        <f t="shared" si="16"/>
        <v>275</v>
      </c>
      <c r="U104" s="116">
        <f t="shared" si="23"/>
        <v>495</v>
      </c>
      <c r="V104" s="116">
        <f t="shared" si="2"/>
        <v>220</v>
      </c>
      <c r="W104" s="116">
        <f t="shared" si="25"/>
        <v>510</v>
      </c>
      <c r="X104" s="116">
        <v>160</v>
      </c>
      <c r="Y104" s="116">
        <v>41</v>
      </c>
      <c r="Z104" s="116">
        <v>102</v>
      </c>
      <c r="AA104" s="116">
        <v>15</v>
      </c>
      <c r="AB104" s="155" t="s">
        <v>14</v>
      </c>
      <c r="AC104" s="225">
        <v>20</v>
      </c>
      <c r="AD104" s="226">
        <f t="shared" si="26"/>
        <v>350</v>
      </c>
      <c r="AE104" s="227">
        <f t="shared" si="27"/>
        <v>21.014124072479991</v>
      </c>
      <c r="AF104" s="227">
        <f t="shared" si="28"/>
        <v>35.298798441983998</v>
      </c>
      <c r="AG104" s="228">
        <f t="shared" si="29"/>
        <v>56.312922514463992</v>
      </c>
      <c r="AH104" s="170">
        <f t="shared" si="5"/>
        <v>4.2333059999999998</v>
      </c>
      <c r="AI104" s="170">
        <f t="shared" si="24"/>
        <v>2.8510019999999998</v>
      </c>
      <c r="AJ104" s="229">
        <f t="shared" si="6"/>
        <v>1.382304</v>
      </c>
      <c r="AK104" s="171">
        <f t="shared" si="7"/>
        <v>10.84599952128</v>
      </c>
      <c r="AM104" s="223"/>
      <c r="AN104" s="223"/>
    </row>
    <row r="105" spans="1:40" s="230" customFormat="1" ht="15.75">
      <c r="A105" s="158"/>
      <c r="B105" s="135"/>
      <c r="C105" s="174"/>
      <c r="D105" s="153"/>
      <c r="E105" s="153"/>
      <c r="F105" s="153"/>
      <c r="G105" s="153"/>
      <c r="H105" s="153"/>
      <c r="I105" s="153"/>
      <c r="J105" s="172"/>
      <c r="K105" s="172"/>
      <c r="L105" s="172"/>
      <c r="M105" s="172"/>
      <c r="N105" s="172"/>
      <c r="O105" s="172"/>
      <c r="P105" s="224" t="s">
        <v>194</v>
      </c>
      <c r="Q105" s="165" t="s">
        <v>27</v>
      </c>
      <c r="R105" s="165">
        <v>140</v>
      </c>
      <c r="S105" s="165">
        <v>90</v>
      </c>
      <c r="T105" s="116">
        <f t="shared" ref="T105:T120" si="30">$C$24</f>
        <v>275</v>
      </c>
      <c r="U105" s="116">
        <f t="shared" si="23"/>
        <v>495</v>
      </c>
      <c r="V105" s="116">
        <f t="shared" si="2"/>
        <v>220</v>
      </c>
      <c r="W105" s="116">
        <f t="shared" si="25"/>
        <v>510</v>
      </c>
      <c r="X105" s="116">
        <v>160</v>
      </c>
      <c r="Y105" s="116">
        <v>41</v>
      </c>
      <c r="Z105" s="116">
        <v>102</v>
      </c>
      <c r="AA105" s="116">
        <v>15</v>
      </c>
      <c r="AB105" s="155" t="s">
        <v>14</v>
      </c>
      <c r="AC105" s="225">
        <v>20</v>
      </c>
      <c r="AD105" s="226">
        <f t="shared" si="26"/>
        <v>350</v>
      </c>
      <c r="AE105" s="227">
        <f t="shared" si="27"/>
        <v>23.895092695319992</v>
      </c>
      <c r="AF105" s="227">
        <f t="shared" si="28"/>
        <v>35.455942185047995</v>
      </c>
      <c r="AG105" s="228">
        <f t="shared" si="29"/>
        <v>59.35103488036799</v>
      </c>
      <c r="AH105" s="170">
        <f t="shared" si="5"/>
        <v>4.2333059999999998</v>
      </c>
      <c r="AI105" s="170">
        <f t="shared" si="24"/>
        <v>2.4838274999999999</v>
      </c>
      <c r="AJ105" s="229">
        <f t="shared" si="6"/>
        <v>1.7494784999999999</v>
      </c>
      <c r="AK105" s="171">
        <f t="shared" si="7"/>
        <v>13.726968144119999</v>
      </c>
      <c r="AM105" s="223"/>
      <c r="AN105" s="223"/>
    </row>
    <row r="106" spans="1:40" s="230" customFormat="1" ht="15.75">
      <c r="A106" s="158"/>
      <c r="B106" s="135"/>
      <c r="C106" s="174"/>
      <c r="D106" s="153"/>
      <c r="E106" s="153"/>
      <c r="F106" s="153"/>
      <c r="G106" s="153"/>
      <c r="H106" s="153"/>
      <c r="I106" s="153"/>
      <c r="J106" s="172"/>
      <c r="K106" s="172"/>
      <c r="L106" s="172"/>
      <c r="M106" s="172"/>
      <c r="N106" s="172"/>
      <c r="O106" s="172"/>
      <c r="P106" s="224" t="s">
        <v>195</v>
      </c>
      <c r="Q106" s="165" t="s">
        <v>20</v>
      </c>
      <c r="R106" s="165">
        <v>140</v>
      </c>
      <c r="S106" s="165">
        <v>100</v>
      </c>
      <c r="T106" s="116">
        <f t="shared" si="30"/>
        <v>275</v>
      </c>
      <c r="U106" s="116">
        <f t="shared" si="23"/>
        <v>495</v>
      </c>
      <c r="V106" s="116">
        <f t="shared" ref="V106:V120" si="31">U106-T106</f>
        <v>220</v>
      </c>
      <c r="W106" s="116">
        <f t="shared" si="25"/>
        <v>510</v>
      </c>
      <c r="X106" s="116">
        <v>160</v>
      </c>
      <c r="Y106" s="116">
        <v>41</v>
      </c>
      <c r="Z106" s="116">
        <v>102</v>
      </c>
      <c r="AA106" s="116">
        <v>15</v>
      </c>
      <c r="AB106" s="155" t="s">
        <v>14</v>
      </c>
      <c r="AC106" s="225">
        <v>20</v>
      </c>
      <c r="AD106" s="226">
        <f t="shared" si="26"/>
        <v>350</v>
      </c>
      <c r="AE106" s="227">
        <f t="shared" si="27"/>
        <v>27.114998803199992</v>
      </c>
      <c r="AF106" s="227">
        <f t="shared" si="28"/>
        <v>35.631573427295997</v>
      </c>
      <c r="AG106" s="228">
        <f t="shared" si="29"/>
        <v>62.746572230495985</v>
      </c>
      <c r="AH106" s="170">
        <f t="shared" ref="AH106:AH120" si="32">((3.1416*(R106*R106)/4)*T106)*0.000001</f>
        <v>4.2333059999999998</v>
      </c>
      <c r="AI106" s="170">
        <f t="shared" si="24"/>
        <v>2.0734560000000002</v>
      </c>
      <c r="AJ106" s="229">
        <f t="shared" ref="AJ106:AJ120" si="33">AH106-AI106</f>
        <v>2.1598499999999996</v>
      </c>
      <c r="AK106" s="171">
        <f t="shared" ref="AK106:AK120" si="34">((((3.1416*S106*S106)/4)*T106)*0.0000001)*78.4632</f>
        <v>16.946874251999997</v>
      </c>
      <c r="AM106" s="223"/>
      <c r="AN106" s="223"/>
    </row>
    <row r="107" spans="1:40" s="230" customFormat="1" ht="15.75">
      <c r="A107" s="158"/>
      <c r="B107" s="135"/>
      <c r="C107" s="174"/>
      <c r="D107" s="153"/>
      <c r="E107" s="153"/>
      <c r="F107" s="153"/>
      <c r="G107" s="153"/>
      <c r="H107" s="153"/>
      <c r="I107" s="153"/>
      <c r="J107" s="172"/>
      <c r="K107" s="172"/>
      <c r="L107" s="172"/>
      <c r="M107" s="172"/>
      <c r="N107" s="172"/>
      <c r="O107" s="172"/>
      <c r="P107" s="224" t="s">
        <v>196</v>
      </c>
      <c r="Q107" s="165" t="s">
        <v>164</v>
      </c>
      <c r="R107" s="165">
        <v>140</v>
      </c>
      <c r="S107" s="165">
        <v>110</v>
      </c>
      <c r="T107" s="116">
        <f t="shared" si="30"/>
        <v>275</v>
      </c>
      <c r="U107" s="116">
        <f t="shared" si="23"/>
        <v>495</v>
      </c>
      <c r="V107" s="116">
        <f t="shared" si="31"/>
        <v>220</v>
      </c>
      <c r="W107" s="116">
        <f t="shared" si="25"/>
        <v>510</v>
      </c>
      <c r="X107" s="116">
        <v>160</v>
      </c>
      <c r="Y107" s="116">
        <v>41</v>
      </c>
      <c r="Z107" s="116">
        <v>102</v>
      </c>
      <c r="AA107" s="116">
        <v>15</v>
      </c>
      <c r="AB107" s="155" t="s">
        <v>14</v>
      </c>
      <c r="AC107" s="225">
        <v>20</v>
      </c>
      <c r="AD107" s="226">
        <f t="shared" si="26"/>
        <v>350</v>
      </c>
      <c r="AE107" s="227">
        <f t="shared" si="27"/>
        <v>30.673842396119991</v>
      </c>
      <c r="AF107" s="227">
        <f t="shared" si="28"/>
        <v>35.82569216872799</v>
      </c>
      <c r="AG107" s="228">
        <f t="shared" si="29"/>
        <v>66.499534564847977</v>
      </c>
      <c r="AH107" s="170">
        <f t="shared" si="32"/>
        <v>4.2333059999999998</v>
      </c>
      <c r="AI107" s="170">
        <f t="shared" si="24"/>
        <v>1.6198874999999999</v>
      </c>
      <c r="AJ107" s="229">
        <f t="shared" si="33"/>
        <v>2.6134184999999999</v>
      </c>
      <c r="AK107" s="171">
        <f t="shared" si="34"/>
        <v>20.505717844919999</v>
      </c>
      <c r="AM107" s="223"/>
      <c r="AN107" s="223"/>
    </row>
    <row r="108" spans="1:40" s="230" customFormat="1" ht="15.75">
      <c r="A108" s="158"/>
      <c r="B108" s="135"/>
      <c r="C108" s="174"/>
      <c r="D108" s="153"/>
      <c r="E108" s="153"/>
      <c r="F108" s="153"/>
      <c r="G108" s="153"/>
      <c r="H108" s="153"/>
      <c r="I108" s="153"/>
      <c r="J108" s="172"/>
      <c r="K108" s="172"/>
      <c r="L108" s="172"/>
      <c r="M108" s="172"/>
      <c r="N108" s="172"/>
      <c r="O108" s="172"/>
      <c r="P108" s="224" t="s">
        <v>82</v>
      </c>
      <c r="Q108" s="165" t="s">
        <v>189</v>
      </c>
      <c r="R108" s="165">
        <v>150</v>
      </c>
      <c r="S108" s="165">
        <v>70</v>
      </c>
      <c r="T108" s="116">
        <f t="shared" si="30"/>
        <v>275</v>
      </c>
      <c r="U108" s="116">
        <f t="shared" si="23"/>
        <v>495</v>
      </c>
      <c r="V108" s="116">
        <f t="shared" si="31"/>
        <v>220</v>
      </c>
      <c r="W108" s="116">
        <f t="shared" si="25"/>
        <v>510</v>
      </c>
      <c r="X108" s="116">
        <v>170</v>
      </c>
      <c r="Y108" s="116">
        <v>50</v>
      </c>
      <c r="Z108" s="116">
        <v>102</v>
      </c>
      <c r="AA108" s="116">
        <v>15</v>
      </c>
      <c r="AB108" s="155" t="s">
        <v>86</v>
      </c>
      <c r="AC108" s="225">
        <v>20</v>
      </c>
      <c r="AD108" s="226">
        <f t="shared" ref="AD108:AD119" si="35">68+T108</f>
        <v>343</v>
      </c>
      <c r="AE108" s="227">
        <f t="shared" si="27"/>
        <v>19.149967904759997</v>
      </c>
      <c r="AF108" s="227">
        <f t="shared" si="28"/>
        <v>39.634117000632003</v>
      </c>
      <c r="AG108" s="228">
        <f t="shared" si="29"/>
        <v>58.784084905392</v>
      </c>
      <c r="AH108" s="170">
        <f t="shared" si="32"/>
        <v>4.8596624999999998</v>
      </c>
      <c r="AI108" s="170">
        <f t="shared" si="24"/>
        <v>3.801336</v>
      </c>
      <c r="AJ108" s="229">
        <f t="shared" si="33"/>
        <v>1.0583264999999997</v>
      </c>
      <c r="AK108" s="171">
        <f t="shared" si="34"/>
        <v>8.3039683834800009</v>
      </c>
      <c r="AM108" s="223"/>
      <c r="AN108" s="223"/>
    </row>
    <row r="109" spans="1:40" s="230" customFormat="1" ht="15.75">
      <c r="A109" s="158"/>
      <c r="B109" s="135"/>
      <c r="C109" s="174"/>
      <c r="D109" s="153"/>
      <c r="E109" s="153"/>
      <c r="F109" s="153"/>
      <c r="G109" s="153"/>
      <c r="H109" s="153"/>
      <c r="I109" s="153"/>
      <c r="J109" s="172"/>
      <c r="K109" s="172"/>
      <c r="L109" s="172"/>
      <c r="M109" s="172"/>
      <c r="N109" s="172"/>
      <c r="O109" s="172"/>
      <c r="P109" s="224" t="s">
        <v>238</v>
      </c>
      <c r="Q109" s="165" t="s">
        <v>239</v>
      </c>
      <c r="R109" s="165">
        <v>150</v>
      </c>
      <c r="S109" s="165">
        <v>90</v>
      </c>
      <c r="T109" s="116">
        <f t="shared" si="30"/>
        <v>275</v>
      </c>
      <c r="U109" s="116">
        <f t="shared" si="23"/>
        <v>495</v>
      </c>
      <c r="V109" s="116">
        <f t="shared" si="31"/>
        <v>220</v>
      </c>
      <c r="W109" s="116">
        <f t="shared" si="25"/>
        <v>510</v>
      </c>
      <c r="X109" s="116">
        <v>170</v>
      </c>
      <c r="Y109" s="116">
        <v>50</v>
      </c>
      <c r="Z109" s="116">
        <v>102</v>
      </c>
      <c r="AA109" s="116">
        <v>15</v>
      </c>
      <c r="AB109" s="155" t="s">
        <v>86</v>
      </c>
      <c r="AC109" s="225">
        <v>20</v>
      </c>
      <c r="AD109" s="226">
        <f t="shared" si="35"/>
        <v>343</v>
      </c>
      <c r="AE109" s="227">
        <f t="shared" si="27"/>
        <v>24.572967665399997</v>
      </c>
      <c r="AF109" s="227">
        <f t="shared" si="28"/>
        <v>39.929916987575993</v>
      </c>
      <c r="AG109" s="228">
        <f t="shared" si="29"/>
        <v>64.502884652975993</v>
      </c>
      <c r="AH109" s="170">
        <f t="shared" si="32"/>
        <v>4.8596624999999998</v>
      </c>
      <c r="AI109" s="170">
        <f t="shared" si="24"/>
        <v>3.1101839999999998</v>
      </c>
      <c r="AJ109" s="229">
        <f t="shared" si="33"/>
        <v>1.7494784999999999</v>
      </c>
      <c r="AK109" s="171">
        <f t="shared" si="34"/>
        <v>13.726968144119999</v>
      </c>
    </row>
    <row r="110" spans="1:40" s="230" customFormat="1" ht="15.75">
      <c r="A110" s="158"/>
      <c r="B110" s="135"/>
      <c r="C110" s="174"/>
      <c r="D110" s="153"/>
      <c r="E110" s="153"/>
      <c r="F110" s="153"/>
      <c r="G110" s="153"/>
      <c r="H110" s="153"/>
      <c r="I110" s="153"/>
      <c r="J110" s="172"/>
      <c r="K110" s="172"/>
      <c r="L110" s="172"/>
      <c r="M110" s="172"/>
      <c r="N110" s="172"/>
      <c r="O110" s="172"/>
      <c r="P110" s="224" t="s">
        <v>240</v>
      </c>
      <c r="Q110" s="165" t="s">
        <v>242</v>
      </c>
      <c r="R110" s="165">
        <v>150</v>
      </c>
      <c r="S110" s="165">
        <v>100</v>
      </c>
      <c r="T110" s="116">
        <f t="shared" si="30"/>
        <v>275</v>
      </c>
      <c r="U110" s="116">
        <f t="shared" si="23"/>
        <v>495</v>
      </c>
      <c r="V110" s="116">
        <f t="shared" si="31"/>
        <v>220</v>
      </c>
      <c r="W110" s="116">
        <f t="shared" si="25"/>
        <v>510</v>
      </c>
      <c r="X110" s="116">
        <v>170</v>
      </c>
      <c r="Y110" s="116">
        <v>50</v>
      </c>
      <c r="Z110" s="116">
        <v>102</v>
      </c>
      <c r="AA110" s="116">
        <v>15</v>
      </c>
      <c r="AB110" s="155" t="s">
        <v>86</v>
      </c>
      <c r="AC110" s="225">
        <v>20</v>
      </c>
      <c r="AD110" s="226">
        <f t="shared" si="35"/>
        <v>343</v>
      </c>
      <c r="AE110" s="227">
        <f t="shared" si="27"/>
        <v>27.792873773279997</v>
      </c>
      <c r="AF110" s="227">
        <f t="shared" si="28"/>
        <v>40.105548229823995</v>
      </c>
      <c r="AG110" s="228">
        <f t="shared" si="29"/>
        <v>67.898422003103988</v>
      </c>
      <c r="AH110" s="170">
        <f t="shared" si="32"/>
        <v>4.8596624999999998</v>
      </c>
      <c r="AI110" s="170">
        <f t="shared" si="24"/>
        <v>2.6998125000000002</v>
      </c>
      <c r="AJ110" s="229">
        <f t="shared" si="33"/>
        <v>2.1598499999999996</v>
      </c>
      <c r="AK110" s="171">
        <f t="shared" si="34"/>
        <v>16.946874251999997</v>
      </c>
    </row>
    <row r="111" spans="1:40" s="230" customFormat="1" ht="15.75">
      <c r="A111" s="158"/>
      <c r="B111" s="135"/>
      <c r="C111" s="174"/>
      <c r="D111" s="153"/>
      <c r="E111" s="153"/>
      <c r="F111" s="153"/>
      <c r="G111" s="153"/>
      <c r="H111" s="153"/>
      <c r="I111" s="153"/>
      <c r="J111" s="172"/>
      <c r="K111" s="172"/>
      <c r="L111" s="172"/>
      <c r="M111" s="172"/>
      <c r="N111" s="172"/>
      <c r="O111" s="172"/>
      <c r="P111" s="224" t="s">
        <v>241</v>
      </c>
      <c r="Q111" s="165" t="s">
        <v>243</v>
      </c>
      <c r="R111" s="165">
        <v>150</v>
      </c>
      <c r="S111" s="165">
        <v>110</v>
      </c>
      <c r="T111" s="116">
        <f t="shared" si="30"/>
        <v>275</v>
      </c>
      <c r="U111" s="116">
        <f t="shared" si="23"/>
        <v>495</v>
      </c>
      <c r="V111" s="116">
        <f t="shared" si="31"/>
        <v>220</v>
      </c>
      <c r="W111" s="116">
        <f t="shared" si="25"/>
        <v>510</v>
      </c>
      <c r="X111" s="116">
        <v>170</v>
      </c>
      <c r="Y111" s="116">
        <v>50</v>
      </c>
      <c r="Z111" s="116">
        <v>102</v>
      </c>
      <c r="AA111" s="116">
        <v>15</v>
      </c>
      <c r="AB111" s="155" t="s">
        <v>86</v>
      </c>
      <c r="AC111" s="225">
        <v>20</v>
      </c>
      <c r="AD111" s="226">
        <f t="shared" si="35"/>
        <v>343</v>
      </c>
      <c r="AE111" s="227">
        <f t="shared" si="27"/>
        <v>31.351717366199999</v>
      </c>
      <c r="AF111" s="227">
        <f t="shared" si="28"/>
        <v>40.299666971255995</v>
      </c>
      <c r="AG111" s="228">
        <f t="shared" si="29"/>
        <v>71.651384337455994</v>
      </c>
      <c r="AH111" s="170">
        <f t="shared" si="32"/>
        <v>4.8596624999999998</v>
      </c>
      <c r="AI111" s="170">
        <f t="shared" si="24"/>
        <v>2.2462439999999999</v>
      </c>
      <c r="AJ111" s="229">
        <f t="shared" si="33"/>
        <v>2.6134184999999999</v>
      </c>
      <c r="AK111" s="171">
        <f t="shared" si="34"/>
        <v>20.505717844919999</v>
      </c>
    </row>
    <row r="112" spans="1:40" s="230" customFormat="1" ht="15.75">
      <c r="A112" s="158"/>
      <c r="B112" s="158"/>
      <c r="C112" s="234"/>
      <c r="D112" s="231"/>
      <c r="E112" s="231"/>
      <c r="F112" s="231"/>
      <c r="G112" s="231"/>
      <c r="H112" s="231"/>
      <c r="I112" s="231"/>
      <c r="J112" s="172"/>
      <c r="K112" s="172"/>
      <c r="L112" s="172"/>
      <c r="M112" s="172"/>
      <c r="N112" s="172"/>
      <c r="O112" s="172"/>
      <c r="P112" s="235" t="s">
        <v>83</v>
      </c>
      <c r="Q112" s="165" t="s">
        <v>190</v>
      </c>
      <c r="R112" s="165">
        <v>160</v>
      </c>
      <c r="S112" s="165">
        <v>80</v>
      </c>
      <c r="T112" s="116">
        <f t="shared" si="30"/>
        <v>275</v>
      </c>
      <c r="U112" s="116">
        <f t="shared" si="23"/>
        <v>495</v>
      </c>
      <c r="V112" s="116">
        <f t="shared" si="31"/>
        <v>220</v>
      </c>
      <c r="W112" s="116">
        <f t="shared" si="25"/>
        <v>510</v>
      </c>
      <c r="X112" s="116">
        <v>180</v>
      </c>
      <c r="Y112" s="116">
        <v>50</v>
      </c>
      <c r="Z112" s="116">
        <v>102</v>
      </c>
      <c r="AA112" s="116">
        <v>15</v>
      </c>
      <c r="AB112" s="155" t="s">
        <v>86</v>
      </c>
      <c r="AC112" s="225">
        <v>20</v>
      </c>
      <c r="AD112" s="226">
        <f t="shared" si="35"/>
        <v>343</v>
      </c>
      <c r="AE112" s="227">
        <f t="shared" si="27"/>
        <v>22.369874012640004</v>
      </c>
      <c r="AF112" s="227">
        <f t="shared" si="28"/>
        <v>44.517898035072001</v>
      </c>
      <c r="AG112" s="228">
        <f t="shared" si="29"/>
        <v>66.887772047712005</v>
      </c>
      <c r="AH112" s="170">
        <f t="shared" si="32"/>
        <v>5.529215999999999</v>
      </c>
      <c r="AI112" s="170">
        <f t="shared" si="24"/>
        <v>4.1469119999999986</v>
      </c>
      <c r="AJ112" s="229">
        <f t="shared" si="33"/>
        <v>1.3823040000000004</v>
      </c>
      <c r="AK112" s="171">
        <f t="shared" si="34"/>
        <v>10.84599952128</v>
      </c>
    </row>
    <row r="113" spans="1:37" s="230" customFormat="1" ht="15.75">
      <c r="A113" s="231"/>
      <c r="B113" s="234"/>
      <c r="C113" s="234"/>
      <c r="D113" s="231"/>
      <c r="E113" s="231"/>
      <c r="F113" s="231"/>
      <c r="G113" s="231"/>
      <c r="H113" s="231"/>
      <c r="I113" s="231"/>
      <c r="J113" s="158"/>
      <c r="K113" s="158"/>
      <c r="L113" s="158"/>
      <c r="M113" s="158"/>
      <c r="N113" s="158"/>
      <c r="O113" s="158"/>
      <c r="P113" s="235" t="s">
        <v>244</v>
      </c>
      <c r="Q113" s="165" t="s">
        <v>245</v>
      </c>
      <c r="R113" s="165">
        <v>160</v>
      </c>
      <c r="S113" s="165">
        <v>100</v>
      </c>
      <c r="T113" s="116">
        <f t="shared" si="30"/>
        <v>275</v>
      </c>
      <c r="U113" s="116">
        <f t="shared" si="23"/>
        <v>495</v>
      </c>
      <c r="V113" s="116">
        <f t="shared" si="31"/>
        <v>220</v>
      </c>
      <c r="W113" s="116">
        <f t="shared" si="25"/>
        <v>510</v>
      </c>
      <c r="X113" s="116">
        <v>180</v>
      </c>
      <c r="Y113" s="116">
        <v>50</v>
      </c>
      <c r="Z113" s="116">
        <v>102</v>
      </c>
      <c r="AA113" s="116">
        <v>15</v>
      </c>
      <c r="AB113" s="155" t="s">
        <v>86</v>
      </c>
      <c r="AC113" s="225">
        <v>20</v>
      </c>
      <c r="AD113" s="226">
        <f t="shared" si="35"/>
        <v>343</v>
      </c>
      <c r="AE113" s="227">
        <f t="shared" si="27"/>
        <v>28.470748743360005</v>
      </c>
      <c r="AF113" s="227">
        <f t="shared" si="28"/>
        <v>44.850673020384001</v>
      </c>
      <c r="AG113" s="228">
        <f t="shared" si="29"/>
        <v>73.321421763744013</v>
      </c>
      <c r="AH113" s="170">
        <f t="shared" si="32"/>
        <v>5.529215999999999</v>
      </c>
      <c r="AI113" s="170">
        <f t="shared" si="24"/>
        <v>3.3693659999999994</v>
      </c>
      <c r="AJ113" s="229">
        <f t="shared" si="33"/>
        <v>2.1598499999999996</v>
      </c>
      <c r="AK113" s="171">
        <f t="shared" si="34"/>
        <v>16.946874251999997</v>
      </c>
    </row>
    <row r="114" spans="1:37" s="230" customFormat="1" ht="15.75">
      <c r="A114" s="231"/>
      <c r="B114" s="234"/>
      <c r="C114" s="234"/>
      <c r="D114" s="231"/>
      <c r="E114" s="231"/>
      <c r="F114" s="231"/>
      <c r="G114" s="231"/>
      <c r="H114" s="231"/>
      <c r="I114" s="231"/>
      <c r="J114" s="158"/>
      <c r="K114" s="158"/>
      <c r="L114" s="158"/>
      <c r="M114" s="158"/>
      <c r="N114" s="158"/>
      <c r="O114" s="158"/>
      <c r="P114" s="235" t="s">
        <v>247</v>
      </c>
      <c r="Q114" s="165" t="s">
        <v>246</v>
      </c>
      <c r="R114" s="165">
        <v>160</v>
      </c>
      <c r="S114" s="165">
        <v>120</v>
      </c>
      <c r="T114" s="116">
        <f t="shared" si="30"/>
        <v>275</v>
      </c>
      <c r="U114" s="116">
        <f t="shared" si="23"/>
        <v>495</v>
      </c>
      <c r="V114" s="116">
        <f t="shared" si="31"/>
        <v>220</v>
      </c>
      <c r="W114" s="116">
        <f t="shared" si="25"/>
        <v>510</v>
      </c>
      <c r="X114" s="116">
        <v>180</v>
      </c>
      <c r="Y114" s="116">
        <v>50</v>
      </c>
      <c r="Z114" s="116">
        <v>102</v>
      </c>
      <c r="AA114" s="116">
        <v>15</v>
      </c>
      <c r="AB114" s="155" t="s">
        <v>86</v>
      </c>
      <c r="AC114" s="225">
        <v>20</v>
      </c>
      <c r="AD114" s="226">
        <f t="shared" si="35"/>
        <v>343</v>
      </c>
      <c r="AE114" s="227">
        <f t="shared" si="27"/>
        <v>35.927373414240002</v>
      </c>
      <c r="AF114" s="227">
        <f t="shared" si="28"/>
        <v>45.257398002431998</v>
      </c>
      <c r="AG114" s="228">
        <f t="shared" si="29"/>
        <v>81.184771416671992</v>
      </c>
      <c r="AH114" s="170">
        <f t="shared" si="32"/>
        <v>5.529215999999999</v>
      </c>
      <c r="AI114" s="170">
        <f t="shared" si="24"/>
        <v>2.4190319999999992</v>
      </c>
      <c r="AJ114" s="229">
        <f t="shared" si="33"/>
        <v>3.1101839999999998</v>
      </c>
      <c r="AK114" s="171">
        <f t="shared" si="34"/>
        <v>24.403498922879997</v>
      </c>
    </row>
    <row r="115" spans="1:37" s="230" customFormat="1" ht="15.75">
      <c r="A115" s="231"/>
      <c r="B115" s="234"/>
      <c r="C115" s="234"/>
      <c r="D115" s="231"/>
      <c r="E115" s="231"/>
      <c r="F115" s="231"/>
      <c r="G115" s="231"/>
      <c r="H115" s="231"/>
      <c r="I115" s="231"/>
      <c r="J115" s="158"/>
      <c r="K115" s="158"/>
      <c r="L115" s="158"/>
      <c r="M115" s="158"/>
      <c r="N115" s="158"/>
      <c r="O115" s="158"/>
      <c r="P115" s="235" t="s">
        <v>84</v>
      </c>
      <c r="Q115" s="165" t="s">
        <v>191</v>
      </c>
      <c r="R115" s="165">
        <v>180</v>
      </c>
      <c r="S115" s="165">
        <v>100</v>
      </c>
      <c r="T115" s="116">
        <f t="shared" si="30"/>
        <v>275</v>
      </c>
      <c r="U115" s="116">
        <f t="shared" si="23"/>
        <v>495</v>
      </c>
      <c r="V115" s="116">
        <f t="shared" si="31"/>
        <v>220</v>
      </c>
      <c r="W115" s="116">
        <f t="shared" si="25"/>
        <v>510</v>
      </c>
      <c r="X115" s="116">
        <v>200</v>
      </c>
      <c r="Y115" s="116">
        <v>50</v>
      </c>
      <c r="Z115" s="116">
        <v>102</v>
      </c>
      <c r="AA115" s="116">
        <v>15</v>
      </c>
      <c r="AB115" s="155" t="s">
        <v>86</v>
      </c>
      <c r="AC115" s="225">
        <v>20</v>
      </c>
      <c r="AD115" s="226">
        <f t="shared" si="35"/>
        <v>343</v>
      </c>
      <c r="AE115" s="227">
        <f t="shared" si="27"/>
        <v>29.826498683519997</v>
      </c>
      <c r="AF115" s="227">
        <f t="shared" si="28"/>
        <v>55.154372565599999</v>
      </c>
      <c r="AG115" s="228">
        <f t="shared" si="29"/>
        <v>84.98087124912</v>
      </c>
      <c r="AH115" s="170">
        <f t="shared" si="32"/>
        <v>6.9979139999999997</v>
      </c>
      <c r="AI115" s="170">
        <f t="shared" si="24"/>
        <v>4.8380640000000001</v>
      </c>
      <c r="AJ115" s="229">
        <f t="shared" si="33"/>
        <v>2.1598499999999996</v>
      </c>
      <c r="AK115" s="171">
        <f t="shared" si="34"/>
        <v>16.946874251999997</v>
      </c>
    </row>
    <row r="116" spans="1:37" s="230" customFormat="1" ht="15.75">
      <c r="A116" s="231"/>
      <c r="B116" s="234"/>
      <c r="C116" s="234"/>
      <c r="D116" s="231"/>
      <c r="E116" s="231"/>
      <c r="F116" s="231"/>
      <c r="G116" s="231"/>
      <c r="H116" s="231"/>
      <c r="I116" s="231"/>
      <c r="J116" s="158"/>
      <c r="K116" s="158"/>
      <c r="L116" s="158"/>
      <c r="M116" s="158"/>
      <c r="N116" s="158"/>
      <c r="O116" s="158"/>
      <c r="P116" s="235" t="s">
        <v>248</v>
      </c>
      <c r="Q116" s="165" t="s">
        <v>250</v>
      </c>
      <c r="R116" s="165">
        <v>180</v>
      </c>
      <c r="S116" s="165">
        <v>120</v>
      </c>
      <c r="T116" s="116">
        <f t="shared" si="30"/>
        <v>275</v>
      </c>
      <c r="U116" s="116">
        <f t="shared" si="23"/>
        <v>495</v>
      </c>
      <c r="V116" s="116">
        <f t="shared" si="31"/>
        <v>220</v>
      </c>
      <c r="W116" s="116">
        <f t="shared" si="25"/>
        <v>510</v>
      </c>
      <c r="X116" s="116">
        <v>200</v>
      </c>
      <c r="Y116" s="116">
        <v>50</v>
      </c>
      <c r="Z116" s="116">
        <v>102</v>
      </c>
      <c r="AA116" s="116">
        <v>15</v>
      </c>
      <c r="AB116" s="155" t="s">
        <v>86</v>
      </c>
      <c r="AC116" s="225">
        <v>20</v>
      </c>
      <c r="AD116" s="226">
        <f t="shared" si="35"/>
        <v>343</v>
      </c>
      <c r="AE116" s="227">
        <f t="shared" si="27"/>
        <v>37.283123354399997</v>
      </c>
      <c r="AF116" s="227">
        <f t="shared" si="28"/>
        <v>55.561097547647996</v>
      </c>
      <c r="AG116" s="228">
        <f t="shared" si="29"/>
        <v>92.844220902047994</v>
      </c>
      <c r="AH116" s="170">
        <f t="shared" si="32"/>
        <v>6.9979139999999997</v>
      </c>
      <c r="AI116" s="170">
        <f t="shared" si="24"/>
        <v>3.8877299999999999</v>
      </c>
      <c r="AJ116" s="229">
        <f t="shared" si="33"/>
        <v>3.1101839999999998</v>
      </c>
      <c r="AK116" s="171">
        <f t="shared" si="34"/>
        <v>24.403498922879997</v>
      </c>
    </row>
    <row r="117" spans="1:37" s="230" customFormat="1" ht="15.75">
      <c r="A117" s="231"/>
      <c r="B117" s="234"/>
      <c r="C117" s="234"/>
      <c r="D117" s="231"/>
      <c r="E117" s="231"/>
      <c r="F117" s="231"/>
      <c r="G117" s="231"/>
      <c r="H117" s="231"/>
      <c r="I117" s="231"/>
      <c r="J117" s="236"/>
      <c r="P117" s="235" t="s">
        <v>249</v>
      </c>
      <c r="Q117" s="165" t="s">
        <v>251</v>
      </c>
      <c r="R117" s="165">
        <v>180</v>
      </c>
      <c r="S117" s="165">
        <v>140</v>
      </c>
      <c r="T117" s="116">
        <f t="shared" si="30"/>
        <v>275</v>
      </c>
      <c r="U117" s="116">
        <f t="shared" si="23"/>
        <v>495</v>
      </c>
      <c r="V117" s="116">
        <f t="shared" si="31"/>
        <v>220</v>
      </c>
      <c r="W117" s="116">
        <f t="shared" si="25"/>
        <v>510</v>
      </c>
      <c r="X117" s="116">
        <v>200</v>
      </c>
      <c r="Y117" s="116">
        <v>50</v>
      </c>
      <c r="Z117" s="116">
        <v>102</v>
      </c>
      <c r="AA117" s="116">
        <v>15</v>
      </c>
      <c r="AB117" s="155" t="s">
        <v>86</v>
      </c>
      <c r="AC117" s="225">
        <v>20</v>
      </c>
      <c r="AD117" s="226">
        <f t="shared" si="35"/>
        <v>343</v>
      </c>
      <c r="AE117" s="227">
        <f t="shared" si="27"/>
        <v>46.095497965439996</v>
      </c>
      <c r="AF117" s="227">
        <f t="shared" si="28"/>
        <v>56.041772526431991</v>
      </c>
      <c r="AG117" s="228">
        <f t="shared" si="29"/>
        <v>102.13727049187199</v>
      </c>
      <c r="AH117" s="170">
        <f t="shared" si="32"/>
        <v>6.9979139999999997</v>
      </c>
      <c r="AI117" s="170">
        <f t="shared" si="24"/>
        <v>2.764608</v>
      </c>
      <c r="AJ117" s="229">
        <f t="shared" si="33"/>
        <v>4.2333059999999998</v>
      </c>
      <c r="AK117" s="171">
        <f t="shared" si="34"/>
        <v>33.215873533920004</v>
      </c>
    </row>
    <row r="118" spans="1:37" s="230" customFormat="1" ht="15.75">
      <c r="A118" s="231"/>
      <c r="B118" s="234"/>
      <c r="C118" s="234"/>
      <c r="D118" s="231"/>
      <c r="E118" s="231"/>
      <c r="F118" s="231"/>
      <c r="G118" s="231"/>
      <c r="H118" s="231"/>
      <c r="I118" s="231"/>
      <c r="J118" s="236"/>
      <c r="P118" s="235" t="s">
        <v>85</v>
      </c>
      <c r="Q118" s="165" t="s">
        <v>192</v>
      </c>
      <c r="R118" s="165">
        <v>200</v>
      </c>
      <c r="S118" s="165">
        <v>120</v>
      </c>
      <c r="T118" s="116">
        <f t="shared" si="30"/>
        <v>275</v>
      </c>
      <c r="U118" s="116">
        <f t="shared" si="23"/>
        <v>495</v>
      </c>
      <c r="V118" s="116">
        <f t="shared" si="31"/>
        <v>220</v>
      </c>
      <c r="W118" s="116">
        <f t="shared" si="25"/>
        <v>510</v>
      </c>
      <c r="X118" s="116">
        <v>230</v>
      </c>
      <c r="Y118" s="116">
        <v>50</v>
      </c>
      <c r="Z118" s="116">
        <v>102</v>
      </c>
      <c r="AA118" s="116">
        <v>15</v>
      </c>
      <c r="AB118" s="155" t="s">
        <v>86</v>
      </c>
      <c r="AC118" s="225">
        <v>20</v>
      </c>
      <c r="AD118" s="226">
        <f t="shared" si="35"/>
        <v>343</v>
      </c>
      <c r="AE118" s="227">
        <f t="shared" si="27"/>
        <v>46.264966707959985</v>
      </c>
      <c r="AF118" s="227">
        <f t="shared" si="28"/>
        <v>73.050271775711991</v>
      </c>
      <c r="AG118" s="228">
        <f t="shared" si="29"/>
        <v>119.31523848367198</v>
      </c>
      <c r="AH118" s="170">
        <f t="shared" si="32"/>
        <v>8.6394000000000002</v>
      </c>
      <c r="AI118" s="170">
        <f t="shared" si="24"/>
        <v>5.5292159999999999</v>
      </c>
      <c r="AJ118" s="229">
        <f t="shared" si="33"/>
        <v>3.1101840000000003</v>
      </c>
      <c r="AK118" s="171">
        <f t="shared" si="34"/>
        <v>24.403498922879997</v>
      </c>
    </row>
    <row r="119" spans="1:37" s="230" customFormat="1" ht="15.75">
      <c r="A119" s="231"/>
      <c r="B119" s="234"/>
      <c r="C119" s="234"/>
      <c r="D119" s="231"/>
      <c r="E119" s="231"/>
      <c r="F119" s="231"/>
      <c r="G119" s="231"/>
      <c r="H119" s="231"/>
      <c r="I119" s="231"/>
      <c r="J119" s="236"/>
      <c r="P119" s="235" t="s">
        <v>252</v>
      </c>
      <c r="Q119" s="165" t="s">
        <v>253</v>
      </c>
      <c r="R119" s="165">
        <v>200</v>
      </c>
      <c r="S119" s="165">
        <v>140</v>
      </c>
      <c r="T119" s="116">
        <f t="shared" si="30"/>
        <v>275</v>
      </c>
      <c r="U119" s="116">
        <f t="shared" si="23"/>
        <v>495</v>
      </c>
      <c r="V119" s="116">
        <f t="shared" si="31"/>
        <v>220</v>
      </c>
      <c r="W119" s="116">
        <f t="shared" si="25"/>
        <v>510</v>
      </c>
      <c r="X119" s="116">
        <v>230</v>
      </c>
      <c r="Y119" s="116">
        <v>50</v>
      </c>
      <c r="Z119" s="116">
        <v>102</v>
      </c>
      <c r="AA119" s="116">
        <v>15</v>
      </c>
      <c r="AB119" s="155" t="s">
        <v>86</v>
      </c>
      <c r="AC119" s="225">
        <v>20</v>
      </c>
      <c r="AD119" s="226">
        <f t="shared" si="35"/>
        <v>343</v>
      </c>
      <c r="AE119" s="227">
        <f t="shared" si="27"/>
        <v>55.077341318999984</v>
      </c>
      <c r="AF119" s="227">
        <f t="shared" si="28"/>
        <v>73.530946754495986</v>
      </c>
      <c r="AG119" s="228">
        <f t="shared" si="29"/>
        <v>128.60828807349597</v>
      </c>
      <c r="AH119" s="170">
        <f t="shared" si="32"/>
        <v>8.6394000000000002</v>
      </c>
      <c r="AI119" s="170">
        <f t="shared" si="24"/>
        <v>4.4060940000000004</v>
      </c>
      <c r="AJ119" s="229">
        <f t="shared" si="33"/>
        <v>4.2333059999999998</v>
      </c>
      <c r="AK119" s="171">
        <f t="shared" si="34"/>
        <v>33.215873533920004</v>
      </c>
    </row>
    <row r="120" spans="1:37" s="230" customFormat="1" ht="16.5" thickBot="1">
      <c r="A120" s="231"/>
      <c r="B120" s="234"/>
      <c r="C120" s="234"/>
      <c r="D120" s="231"/>
      <c r="E120" s="231"/>
      <c r="F120" s="231"/>
      <c r="G120" s="231"/>
      <c r="H120" s="231"/>
      <c r="I120" s="231"/>
      <c r="J120" s="236"/>
      <c r="P120" s="237" t="s">
        <v>254</v>
      </c>
      <c r="Q120" s="238" t="s">
        <v>29</v>
      </c>
      <c r="R120" s="238">
        <v>220</v>
      </c>
      <c r="S120" s="238">
        <v>110</v>
      </c>
      <c r="T120" s="239">
        <f t="shared" si="30"/>
        <v>275</v>
      </c>
      <c r="U120" s="239">
        <f>242+T120</f>
        <v>517</v>
      </c>
      <c r="V120" s="239">
        <f t="shared" si="31"/>
        <v>242</v>
      </c>
      <c r="W120" s="239">
        <f t="shared" si="25"/>
        <v>532</v>
      </c>
      <c r="X120" s="239">
        <v>273</v>
      </c>
      <c r="Y120" s="239">
        <v>55</v>
      </c>
      <c r="Z120" s="239">
        <v>104</v>
      </c>
      <c r="AA120" s="239">
        <v>15</v>
      </c>
      <c r="AB120" s="240" t="s">
        <v>86</v>
      </c>
      <c r="AC120" s="241">
        <v>20</v>
      </c>
      <c r="AD120" s="242">
        <f>83+T120</f>
        <v>358</v>
      </c>
      <c r="AE120" s="243">
        <f t="shared" si="27"/>
        <v>64.78620557797079</v>
      </c>
      <c r="AF120" s="243">
        <f t="shared" si="28"/>
        <v>112.26544971983509</v>
      </c>
      <c r="AG120" s="244">
        <f t="shared" si="29"/>
        <v>177.05165529780589</v>
      </c>
      <c r="AH120" s="245">
        <f t="shared" si="32"/>
        <v>10.453673999999999</v>
      </c>
      <c r="AI120" s="245">
        <f t="shared" si="24"/>
        <v>7.8402554999999996</v>
      </c>
      <c r="AJ120" s="246">
        <f t="shared" si="33"/>
        <v>2.6134184999999999</v>
      </c>
      <c r="AK120" s="171">
        <f t="shared" si="34"/>
        <v>20.505717844919999</v>
      </c>
    </row>
    <row r="121" spans="1:37">
      <c r="Q121" s="194">
        <v>1</v>
      </c>
      <c r="R121" s="194">
        <v>2</v>
      </c>
      <c r="S121" s="194">
        <v>3</v>
      </c>
      <c r="T121" s="194">
        <v>4</v>
      </c>
      <c r="U121" s="194">
        <v>5</v>
      </c>
      <c r="V121" s="194">
        <v>6</v>
      </c>
      <c r="W121" s="194">
        <v>7</v>
      </c>
      <c r="X121" s="194">
        <v>8</v>
      </c>
      <c r="Y121" s="194">
        <v>9</v>
      </c>
      <c r="Z121" s="194">
        <v>10</v>
      </c>
      <c r="AA121" s="194">
        <v>11</v>
      </c>
      <c r="AB121" s="194">
        <v>12</v>
      </c>
      <c r="AC121" s="194">
        <v>13</v>
      </c>
      <c r="AD121" s="194">
        <v>14</v>
      </c>
      <c r="AE121" s="194">
        <v>15</v>
      </c>
      <c r="AF121" s="194">
        <v>16</v>
      </c>
      <c r="AG121" s="194">
        <v>17</v>
      </c>
      <c r="AH121" s="194">
        <v>18</v>
      </c>
      <c r="AI121" s="194">
        <v>19</v>
      </c>
      <c r="AJ121" s="194">
        <v>20</v>
      </c>
      <c r="AK121" s="193"/>
    </row>
    <row r="122" spans="1:37"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</row>
    <row r="123" spans="1:37"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</row>
    <row r="124" spans="1:37" ht="18.75">
      <c r="P124" s="197"/>
      <c r="Q124" s="197"/>
      <c r="S124" s="250"/>
      <c r="T124" s="197"/>
      <c r="U124" s="197"/>
      <c r="V124" s="197"/>
      <c r="W124" s="193"/>
      <c r="X124" s="251">
        <f>(R125-X125)*E24</f>
        <v>3675.6720000000018</v>
      </c>
      <c r="Y124" s="251"/>
      <c r="Z124" s="251"/>
      <c r="AA124" s="197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</row>
    <row r="125" spans="1:37" ht="18.75">
      <c r="P125" s="252" t="s">
        <v>167</v>
      </c>
      <c r="Q125" s="252"/>
      <c r="R125" s="253">
        <f>((VLOOKUP(A24,Q35:AJ120,2,FALSE)*(VLOOKUP(A24,Q35:AJ120,2,FALSE))*3.1416)/4)/100</f>
        <v>78.540000000000006</v>
      </c>
      <c r="S125" s="253"/>
      <c r="T125" s="178" t="s">
        <v>89</v>
      </c>
      <c r="U125" s="304" t="s">
        <v>170</v>
      </c>
      <c r="V125" s="304"/>
      <c r="W125" s="304"/>
      <c r="X125" s="253">
        <f>((VLOOKUP(A24,Q35:AJ120,3,FALSE)*(VLOOKUP(A24,Q35:AJ120,3,FALSE))*3.1416)/4)/100</f>
        <v>50.265599999999992</v>
      </c>
      <c r="Y125" s="253"/>
      <c r="Z125" s="253"/>
      <c r="AA125" s="178" t="s">
        <v>89</v>
      </c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</row>
    <row r="126" spans="1:37" ht="18.75">
      <c r="P126" s="254" t="s">
        <v>90</v>
      </c>
      <c r="Q126" s="254"/>
      <c r="R126" s="255">
        <f>AH32</f>
        <v>2.15985</v>
      </c>
      <c r="S126" s="255"/>
      <c r="T126" s="180" t="s">
        <v>91</v>
      </c>
      <c r="U126" s="305" t="s">
        <v>175</v>
      </c>
      <c r="V126" s="305"/>
      <c r="W126" s="305"/>
      <c r="X126" s="256">
        <f>AI32</f>
        <v>0.77754600000000007</v>
      </c>
      <c r="Y126" s="256"/>
      <c r="Z126" s="256"/>
      <c r="AA126" s="257" t="s">
        <v>91</v>
      </c>
      <c r="AB126" s="257"/>
      <c r="AC126" s="193"/>
      <c r="AD126" s="193"/>
      <c r="AE126" s="193"/>
      <c r="AF126" s="193"/>
      <c r="AG126" s="193"/>
      <c r="AH126" s="193"/>
      <c r="AI126" s="193"/>
      <c r="AJ126" s="193"/>
      <c r="AK126" s="193"/>
    </row>
    <row r="127" spans="1:37" ht="18.75">
      <c r="P127" s="127" t="s">
        <v>99</v>
      </c>
      <c r="Q127" s="127"/>
      <c r="R127" s="258">
        <f>R125*E24</f>
        <v>10210.200000000001</v>
      </c>
      <c r="S127" s="258"/>
      <c r="T127" s="106"/>
      <c r="U127" s="106"/>
      <c r="V127" s="178"/>
      <c r="W127" s="193"/>
      <c r="X127" s="259" t="s">
        <v>169</v>
      </c>
      <c r="Y127" s="259"/>
      <c r="Z127" s="259"/>
      <c r="AA127" s="178" t="s">
        <v>93</v>
      </c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</row>
    <row r="128" spans="1:37" ht="18.75">
      <c r="P128" s="178" t="s">
        <v>101</v>
      </c>
      <c r="Q128" s="179">
        <f>(C24/1000)/C25</f>
        <v>8.4882437823614303E-3</v>
      </c>
      <c r="S128" s="252" t="s">
        <v>96</v>
      </c>
      <c r="T128" s="178" t="s">
        <v>101</v>
      </c>
      <c r="U128" s="179">
        <f>(C24/1000)/G25</f>
        <v>2.3578454951003972E-2</v>
      </c>
      <c r="V128" s="178" t="s">
        <v>96</v>
      </c>
      <c r="W128" s="106"/>
      <c r="X128" s="106"/>
      <c r="Y128" s="106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</row>
  </sheetData>
  <sheetProtection password="9494" sheet="1" objects="1" scenarios="1" selectLockedCells="1"/>
  <mergeCells count="14">
    <mergeCell ref="A25:B25"/>
    <mergeCell ref="E25:F25"/>
    <mergeCell ref="M34:O34"/>
    <mergeCell ref="U125:W125"/>
    <mergeCell ref="U126:W126"/>
    <mergeCell ref="A26:B26"/>
    <mergeCell ref="E26:F26"/>
    <mergeCell ref="T33:T34"/>
    <mergeCell ref="P33:P34"/>
    <mergeCell ref="A24:B24"/>
    <mergeCell ref="A22:B23"/>
    <mergeCell ref="C22:D23"/>
    <mergeCell ref="E22:F23"/>
    <mergeCell ref="G22:H23"/>
  </mergeCells>
  <phoneticPr fontId="1" type="noConversion"/>
  <dataValidations count="7">
    <dataValidation type="decimal" operator="greaterThan" allowBlank="1" showInputMessage="1" showErrorMessage="1" error="Attention la vitesse maximum de sortie de tiges est atteinte" sqref="U128">
      <formula1>0.5</formula1>
    </dataValidation>
    <dataValidation type="decimal" errorStyle="information" operator="greaterThan" allowBlank="1" showInputMessage="1" showErrorMessage="1" error="Attention la vitesse maximum de sortie de tiges est atteinte" sqref="Q128">
      <formula1>0.5</formula1>
    </dataValidation>
    <dataValidation type="decimal" errorStyle="warning" operator="greaterThan" allowBlank="1" showInputMessage="1" showErrorMessage="1" error="Attention la vitesse maximum de sortie de tiges est atteinte" sqref="G26">
      <formula1>0.5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4">
      <formula1>1001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4">
      <formula1>201</formula1>
    </dataValidation>
    <dataValidation type="decimal" errorStyle="warning" operator="greaterThan" allowBlank="1" showErrorMessage="1" error="Attention la vitesse maximum de sortie de tiges est atteinte" sqref="C26">
      <formula1>0.5</formula1>
    </dataValidation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4:B24">
      <formula1>$Q$35:$Q$120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C25:C26 G25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Standard simple effet</vt:lpstr>
      <vt:lpstr>Standard simple effet brut</vt:lpstr>
      <vt:lpstr>Double effet simple</vt:lpstr>
      <vt:lpstr>Double effet brut</vt:lpstr>
      <vt:lpstr>_80x60</vt:lpstr>
      <vt:lpstr>type</vt:lpstr>
      <vt:lpstr>'Double effet brut'!Zone_d_impression</vt:lpstr>
      <vt:lpstr>'Double effet simple'!Zone_d_impression</vt:lpstr>
      <vt:lpstr>'Standard simple effet'!Zone_d_impression</vt:lpstr>
      <vt:lpstr>'Standard simple effet brut'!Zone_d_impression</vt:lpstr>
    </vt:vector>
  </TitlesOfParts>
  <Company>socah hydraulique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edh</cp:lastModifiedBy>
  <cp:lastPrinted>2018-02-02T14:28:30Z</cp:lastPrinted>
  <dcterms:created xsi:type="dcterms:W3CDTF">2005-05-02T11:58:27Z</dcterms:created>
  <dcterms:modified xsi:type="dcterms:W3CDTF">2018-02-02T14:59:06Z</dcterms:modified>
</cp:coreProperties>
</file>